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C:\Users\gunde\Documents\Projects\Electric Aircraft Performance Study\"/>
    </mc:Choice>
  </mc:AlternateContent>
  <xr:revisionPtr revIDLastSave="0" documentId="13_ncr:1_{11D01DFB-AB8F-4734-9D38-D14458088B77}" xr6:coauthVersionLast="47" xr6:coauthVersionMax="47" xr10:uidLastSave="{00000000-0000-0000-0000-000000000000}"/>
  <bookViews>
    <workbookView xWindow="-120" yWindow="-120" windowWidth="29040" windowHeight="15720" xr2:uid="{00000000-000D-0000-FFFF-FFFF00000000}"/>
  </bookViews>
  <sheets>
    <sheet name="High Alt Commercial" sheetId="6" r:id="rId1"/>
    <sheet name="Low Alt HighSp Commercial" sheetId="1" r:id="rId2"/>
    <sheet name="Low Alt LowSp Commercial" sheetId="7" r:id="rId3"/>
    <sheet name="GA Aircraft Estimation" sheetId="5" r:id="rId4"/>
    <sheet name="Energy Cost in US" sheetId="8" r:id="rId5"/>
    <sheet name="Checking Chris' Estimation" sheetId="4" r:id="rId6"/>
  </sheets>
  <calcPr calcId="191029"/>
</workbook>
</file>

<file path=xl/calcChain.xml><?xml version="1.0" encoding="utf-8"?>
<calcChain xmlns="http://schemas.openxmlformats.org/spreadsheetml/2006/main">
  <c r="F7" i="8" l="1"/>
  <c r="H7" i="8"/>
  <c r="H6" i="8"/>
  <c r="H2" i="8"/>
  <c r="H4" i="8"/>
  <c r="H5" i="8"/>
  <c r="D17" i="8"/>
  <c r="E17" i="8"/>
  <c r="F6" i="8"/>
  <c r="F2" i="8"/>
  <c r="F3" i="8"/>
  <c r="F4" i="8"/>
  <c r="F5" i="8"/>
  <c r="D3" i="8"/>
  <c r="H3" i="8" s="1"/>
  <c r="D4" i="8"/>
  <c r="D5" i="8"/>
  <c r="D2" i="8"/>
  <c r="B110" i="5"/>
  <c r="B25" i="5"/>
  <c r="D25" i="5" s="1"/>
  <c r="B184" i="5"/>
  <c r="B185" i="5"/>
  <c r="B186" i="5"/>
  <c r="B187" i="5"/>
  <c r="B188" i="5"/>
  <c r="B189" i="5"/>
  <c r="B190" i="5"/>
  <c r="B191" i="5"/>
  <c r="B192" i="5"/>
  <c r="B193" i="5"/>
  <c r="B194" i="5"/>
  <c r="B195" i="5"/>
  <c r="B196" i="5"/>
  <c r="B197" i="5"/>
  <c r="B198" i="5"/>
  <c r="B199" i="5"/>
  <c r="B200" i="5"/>
  <c r="B201" i="5"/>
  <c r="B202" i="5"/>
  <c r="B203" i="5"/>
  <c r="B204" i="5"/>
  <c r="B205" i="5"/>
  <c r="B206" i="5"/>
  <c r="B207" i="5"/>
  <c r="B208" i="5"/>
  <c r="B209" i="5"/>
  <c r="B210" i="5"/>
  <c r="B211" i="5"/>
  <c r="B212" i="5"/>
  <c r="B213" i="5"/>
  <c r="B214" i="5"/>
  <c r="B215" i="5"/>
  <c r="B216" i="5"/>
  <c r="B217" i="5"/>
  <c r="B218" i="5"/>
  <c r="B219" i="5"/>
  <c r="B220" i="5"/>
  <c r="B128" i="5"/>
  <c r="B129" i="5"/>
  <c r="B130" i="5"/>
  <c r="B131" i="5"/>
  <c r="B132" i="5"/>
  <c r="B133" i="5"/>
  <c r="B134" i="5"/>
  <c r="B135" i="5"/>
  <c r="B136" i="5"/>
  <c r="B137" i="5"/>
  <c r="B138" i="5"/>
  <c r="B139" i="5"/>
  <c r="B140" i="5"/>
  <c r="B141" i="5"/>
  <c r="B142" i="5"/>
  <c r="B143" i="5"/>
  <c r="B144" i="5"/>
  <c r="B145" i="5"/>
  <c r="B146" i="5"/>
  <c r="B147" i="5"/>
  <c r="B148" i="5"/>
  <c r="B149" i="5"/>
  <c r="B150" i="5"/>
  <c r="B151" i="5"/>
  <c r="B152" i="5"/>
  <c r="B153" i="5"/>
  <c r="B154" i="5"/>
  <c r="B155" i="5"/>
  <c r="B156" i="5"/>
  <c r="B157" i="5"/>
  <c r="B158" i="5"/>
  <c r="B159" i="5"/>
  <c r="B160" i="5"/>
  <c r="B161" i="5"/>
  <c r="B162" i="5"/>
  <c r="B163" i="5"/>
  <c r="B164" i="5"/>
  <c r="B165" i="5"/>
  <c r="B166" i="5"/>
  <c r="B167" i="5"/>
  <c r="B168" i="5"/>
  <c r="B169" i="5"/>
  <c r="B170" i="5"/>
  <c r="B171" i="5"/>
  <c r="B172" i="5"/>
  <c r="B173" i="5"/>
  <c r="B174" i="5"/>
  <c r="B175" i="5"/>
  <c r="B176" i="5"/>
  <c r="B177" i="5"/>
  <c r="B178" i="5"/>
  <c r="B179" i="5"/>
  <c r="B180" i="5"/>
  <c r="B181" i="5"/>
  <c r="B182" i="5"/>
  <c r="B183" i="5"/>
  <c r="B127" i="5"/>
  <c r="F85" i="5" l="1"/>
  <c r="F84" i="5"/>
  <c r="F83" i="5"/>
  <c r="E22" i="5"/>
  <c r="D68" i="5"/>
  <c r="B8" i="5"/>
  <c r="B28" i="7" l="1"/>
  <c r="B26" i="7"/>
  <c r="B22" i="7"/>
  <c r="B23" i="7" s="1"/>
  <c r="B24" i="7" s="1"/>
  <c r="B18" i="7"/>
  <c r="D17" i="7"/>
  <c r="F15" i="7"/>
  <c r="D15" i="7"/>
  <c r="B13" i="7"/>
  <c r="B14" i="7" s="1"/>
  <c r="B7" i="7"/>
  <c r="B8" i="7" s="1"/>
  <c r="B10" i="7" s="1"/>
  <c r="J4" i="7"/>
  <c r="B3" i="7"/>
  <c r="J3" i="7" s="1"/>
  <c r="D1" i="7"/>
  <c r="B28" i="6"/>
  <c r="B26" i="6"/>
  <c r="B22" i="6"/>
  <c r="B23" i="6" s="1"/>
  <c r="B24" i="6" s="1"/>
  <c r="B18" i="6"/>
  <c r="D17" i="6"/>
  <c r="F15" i="6"/>
  <c r="D15" i="6"/>
  <c r="B13" i="6"/>
  <c r="B14" i="6" s="1"/>
  <c r="B7" i="6"/>
  <c r="B8" i="6" s="1"/>
  <c r="B10" i="6" s="1"/>
  <c r="J4" i="6"/>
  <c r="B3" i="6"/>
  <c r="J3" i="6" s="1"/>
  <c r="D1" i="6"/>
  <c r="D17" i="1"/>
  <c r="B25" i="7" l="1"/>
  <c r="D25" i="7" s="1"/>
  <c r="F25" i="7" s="1"/>
  <c r="B30" i="7" s="1"/>
  <c r="D14" i="7"/>
  <c r="F14" i="7" s="1"/>
  <c r="B16" i="7"/>
  <c r="J6" i="7"/>
  <c r="J7" i="7" s="1"/>
  <c r="D10" i="7"/>
  <c r="B25" i="6"/>
  <c r="D25" i="6" s="1"/>
  <c r="F25" i="6" s="1"/>
  <c r="B30" i="6" s="1"/>
  <c r="D14" i="6"/>
  <c r="F14" i="6" s="1"/>
  <c r="B16" i="6"/>
  <c r="J6" i="6"/>
  <c r="J7" i="6" s="1"/>
  <c r="D10" i="6"/>
  <c r="B35" i="7" l="1"/>
  <c r="B41" i="7"/>
  <c r="B43" i="7" s="1"/>
  <c r="B27" i="7"/>
  <c r="D16" i="7"/>
  <c r="F16" i="7" s="1"/>
  <c r="B27" i="6"/>
  <c r="D16" i="6"/>
  <c r="F16" i="6" s="1"/>
  <c r="B35" i="6"/>
  <c r="B40" i="6"/>
  <c r="B42" i="6" s="1"/>
  <c r="B29" i="7" l="1"/>
  <c r="D27" i="7"/>
  <c r="D27" i="6"/>
  <c r="B29" i="6"/>
  <c r="D29" i="7" l="1"/>
  <c r="B31" i="7"/>
  <c r="B38" i="7" s="1"/>
  <c r="D29" i="6"/>
  <c r="B31" i="6"/>
  <c r="B32" i="7" l="1"/>
  <c r="B44" i="7"/>
  <c r="B45" i="7" s="1"/>
  <c r="B32" i="6"/>
  <c r="B43" i="6"/>
  <c r="B44" i="6" s="1"/>
  <c r="B56" i="7" l="1"/>
  <c r="B36" i="7"/>
  <c r="B37" i="7" s="1"/>
  <c r="B55" i="6"/>
  <c r="B36" i="6"/>
  <c r="B37" i="6" s="1"/>
  <c r="B48" i="7" l="1"/>
  <c r="B47" i="6"/>
  <c r="B18" i="1" l="1"/>
  <c r="B21" i="5" l="1"/>
  <c r="B31" i="5"/>
  <c r="B2" i="5"/>
  <c r="B26" i="5"/>
  <c r="B27" i="5" s="1"/>
  <c r="F18" i="5"/>
  <c r="D18" i="5"/>
  <c r="H18" i="5" s="1"/>
  <c r="B76" i="5" s="1"/>
  <c r="B14" i="4"/>
  <c r="B28" i="4"/>
  <c r="B22" i="4"/>
  <c r="B23" i="4" s="1"/>
  <c r="B24" i="4" s="1"/>
  <c r="B25" i="4" s="1"/>
  <c r="D25" i="4" s="1"/>
  <c r="F25" i="4" s="1"/>
  <c r="B18" i="4"/>
  <c r="F15" i="4"/>
  <c r="D15" i="4"/>
  <c r="B13" i="4"/>
  <c r="B7" i="4"/>
  <c r="B8" i="4" s="1"/>
  <c r="J4" i="4"/>
  <c r="B3" i="4"/>
  <c r="J3" i="4" s="1"/>
  <c r="J6" i="4" s="1"/>
  <c r="J7" i="4" s="1"/>
  <c r="D1" i="4"/>
  <c r="F15" i="1"/>
  <c r="B22" i="1"/>
  <c r="B23" i="1" s="1"/>
  <c r="B24" i="1" s="1"/>
  <c r="B28" i="1"/>
  <c r="J4" i="1"/>
  <c r="B26" i="1"/>
  <c r="D15" i="1"/>
  <c r="B13" i="1"/>
  <c r="B14" i="1" s="1"/>
  <c r="B16" i="1" s="1"/>
  <c r="D16" i="1" s="1"/>
  <c r="F16" i="1" s="1"/>
  <c r="D1" i="1"/>
  <c r="B7" i="1"/>
  <c r="B8" i="1" s="1"/>
  <c r="B10" i="1" s="1"/>
  <c r="D10" i="1" s="1"/>
  <c r="B3" i="1"/>
  <c r="J3" i="1" s="1"/>
  <c r="B35" i="1" l="1"/>
  <c r="B40" i="1"/>
  <c r="B42" i="1" s="1"/>
  <c r="B28" i="5"/>
  <c r="B29" i="5" s="1"/>
  <c r="D14" i="4"/>
  <c r="F14" i="4" s="1"/>
  <c r="B30" i="4" s="1"/>
  <c r="B16" i="4"/>
  <c r="B27" i="4" s="1"/>
  <c r="B10" i="4"/>
  <c r="B27" i="1"/>
  <c r="B29" i="1" s="1"/>
  <c r="B25" i="1"/>
  <c r="D25" i="1" s="1"/>
  <c r="F25" i="1" s="1"/>
  <c r="D14" i="1"/>
  <c r="F14" i="1" s="1"/>
  <c r="J6" i="1"/>
  <c r="J7" i="1" s="1"/>
  <c r="B31" i="1" l="1"/>
  <c r="B32" i="1" s="1"/>
  <c r="D29" i="1"/>
  <c r="D28" i="5"/>
  <c r="F28" i="5" s="1"/>
  <c r="D10" i="4"/>
  <c r="B35" i="4" s="1"/>
  <c r="B36" i="4" s="1"/>
  <c r="D16" i="4"/>
  <c r="B30" i="1"/>
  <c r="D27" i="1"/>
  <c r="B36" i="1" l="1"/>
  <c r="B37" i="1" s="1"/>
  <c r="B55" i="1"/>
  <c r="B43" i="1"/>
  <c r="B44" i="1" s="1"/>
  <c r="B29" i="4"/>
  <c r="D27" i="4"/>
  <c r="B47" i="1" l="1"/>
  <c r="B31" i="4"/>
  <c r="B32" i="4" s="1"/>
  <c r="B37" i="4" s="1"/>
  <c r="D29" i="4"/>
  <c r="B40" i="4" l="1"/>
  <c r="B41" i="4" s="1"/>
  <c r="B38" i="4"/>
  <c r="D32" i="4"/>
  <c r="B6" i="5"/>
  <c r="D6" i="5" s="1"/>
  <c r="B69" i="5" l="1"/>
  <c r="D4" i="5"/>
  <c r="D7" i="5"/>
  <c r="B16" i="5"/>
  <c r="B17" i="5" s="1"/>
  <c r="B10" i="5"/>
  <c r="D3" i="5"/>
  <c r="B111" i="5" l="1"/>
  <c r="B77" i="5"/>
  <c r="B87" i="5"/>
  <c r="B71" i="5"/>
  <c r="B80" i="5"/>
  <c r="D80" i="5" s="1"/>
  <c r="B11" i="5"/>
  <c r="D10" i="5"/>
  <c r="B30" i="5"/>
  <c r="B19" i="5"/>
  <c r="B32" i="5" s="1"/>
  <c r="D17" i="5"/>
  <c r="F17" i="5" s="1"/>
  <c r="B35" i="5" s="1"/>
  <c r="E128" i="5" l="1"/>
  <c r="E136" i="5"/>
  <c r="E144" i="5"/>
  <c r="E152" i="5"/>
  <c r="E160" i="5"/>
  <c r="E168" i="5"/>
  <c r="E176" i="5"/>
  <c r="E184" i="5"/>
  <c r="E192" i="5"/>
  <c r="E200" i="5"/>
  <c r="E208" i="5"/>
  <c r="E216" i="5"/>
  <c r="E129" i="5"/>
  <c r="E145" i="5"/>
  <c r="E153" i="5"/>
  <c r="E161" i="5"/>
  <c r="E169" i="5"/>
  <c r="E217" i="5"/>
  <c r="E137" i="5"/>
  <c r="E130" i="5"/>
  <c r="E138" i="5"/>
  <c r="E146" i="5"/>
  <c r="E154" i="5"/>
  <c r="E162" i="5"/>
  <c r="E170" i="5"/>
  <c r="E178" i="5"/>
  <c r="E186" i="5"/>
  <c r="E194" i="5"/>
  <c r="E202" i="5"/>
  <c r="E210" i="5"/>
  <c r="E218" i="5"/>
  <c r="E151" i="5"/>
  <c r="E175" i="5"/>
  <c r="E207" i="5"/>
  <c r="E177" i="5"/>
  <c r="E131" i="5"/>
  <c r="E139" i="5"/>
  <c r="E147" i="5"/>
  <c r="E155" i="5"/>
  <c r="E163" i="5"/>
  <c r="E171" i="5"/>
  <c r="E179" i="5"/>
  <c r="E187" i="5"/>
  <c r="E195" i="5"/>
  <c r="E203" i="5"/>
  <c r="E211" i="5"/>
  <c r="E219" i="5"/>
  <c r="E143" i="5"/>
  <c r="E191" i="5"/>
  <c r="E209" i="5"/>
  <c r="E132" i="5"/>
  <c r="E140" i="5"/>
  <c r="E148" i="5"/>
  <c r="E156" i="5"/>
  <c r="E164" i="5"/>
  <c r="E172" i="5"/>
  <c r="E180" i="5"/>
  <c r="E188" i="5"/>
  <c r="E196" i="5"/>
  <c r="E204" i="5"/>
  <c r="E212" i="5"/>
  <c r="E220" i="5"/>
  <c r="E135" i="5"/>
  <c r="E167" i="5"/>
  <c r="E199" i="5"/>
  <c r="E185" i="5"/>
  <c r="E133" i="5"/>
  <c r="E141" i="5"/>
  <c r="E149" i="5"/>
  <c r="E157" i="5"/>
  <c r="E165" i="5"/>
  <c r="E173" i="5"/>
  <c r="E181" i="5"/>
  <c r="E189" i="5"/>
  <c r="E197" i="5"/>
  <c r="E205" i="5"/>
  <c r="E213" i="5"/>
  <c r="E127" i="5"/>
  <c r="E159" i="5"/>
  <c r="E215" i="5"/>
  <c r="E201" i="5"/>
  <c r="E134" i="5"/>
  <c r="E142" i="5"/>
  <c r="E150" i="5"/>
  <c r="E158" i="5"/>
  <c r="E166" i="5"/>
  <c r="E174" i="5"/>
  <c r="E182" i="5"/>
  <c r="E190" i="5"/>
  <c r="E198" i="5"/>
  <c r="E206" i="5"/>
  <c r="E214" i="5"/>
  <c r="E183" i="5"/>
  <c r="E193" i="5"/>
  <c r="B72" i="5"/>
  <c r="B109" i="5" s="1"/>
  <c r="B13" i="5"/>
  <c r="F13" i="5" s="1"/>
  <c r="D11" i="5"/>
  <c r="B119" i="5"/>
  <c r="B121" i="5" s="1"/>
  <c r="D19" i="5"/>
  <c r="F19" i="5" s="1"/>
  <c r="D13" i="5" l="1"/>
  <c r="B40" i="5" s="1"/>
  <c r="C167" i="5"/>
  <c r="D167" i="5" s="1"/>
  <c r="H167" i="5" s="1"/>
  <c r="C205" i="5"/>
  <c r="D205" i="5" s="1"/>
  <c r="H205" i="5" s="1"/>
  <c r="C207" i="5"/>
  <c r="D207" i="5" s="1"/>
  <c r="H207" i="5" s="1"/>
  <c r="C173" i="5"/>
  <c r="D173" i="5" s="1"/>
  <c r="H173" i="5" s="1"/>
  <c r="C164" i="5"/>
  <c r="D164" i="5" s="1"/>
  <c r="H164" i="5" s="1"/>
  <c r="C177" i="5"/>
  <c r="D177" i="5" s="1"/>
  <c r="H177" i="5" s="1"/>
  <c r="C178" i="5"/>
  <c r="D178" i="5" s="1"/>
  <c r="H178" i="5" s="1"/>
  <c r="C136" i="5"/>
  <c r="D136" i="5" s="1"/>
  <c r="H136" i="5" s="1"/>
  <c r="C159" i="5"/>
  <c r="D159" i="5" s="1"/>
  <c r="H159" i="5" s="1"/>
  <c r="C174" i="5"/>
  <c r="D174" i="5" s="1"/>
  <c r="H174" i="5" s="1"/>
  <c r="C188" i="5"/>
  <c r="D188" i="5" s="1"/>
  <c r="H188" i="5" s="1"/>
  <c r="C194" i="5"/>
  <c r="D194" i="5" s="1"/>
  <c r="H194" i="5" s="1"/>
  <c r="C199" i="5"/>
  <c r="D199" i="5" s="1"/>
  <c r="H199" i="5" s="1"/>
  <c r="C196" i="5"/>
  <c r="D196" i="5" s="1"/>
  <c r="H196" i="5" s="1"/>
  <c r="C210" i="5"/>
  <c r="D210" i="5" s="1"/>
  <c r="H210" i="5" s="1"/>
  <c r="C203" i="5"/>
  <c r="D203" i="5" s="1"/>
  <c r="H203" i="5" s="1"/>
  <c r="C156" i="5"/>
  <c r="D156" i="5" s="1"/>
  <c r="H156" i="5" s="1"/>
  <c r="C169" i="5"/>
  <c r="D169" i="5" s="1"/>
  <c r="H169" i="5" s="1"/>
  <c r="C162" i="5"/>
  <c r="D162" i="5" s="1"/>
  <c r="H162" i="5" s="1"/>
  <c r="C131" i="5"/>
  <c r="D131" i="5" s="1"/>
  <c r="H131" i="5" s="1"/>
  <c r="C151" i="5"/>
  <c r="D151" i="5" s="1"/>
  <c r="H151" i="5" s="1"/>
  <c r="C166" i="5"/>
  <c r="D166" i="5" s="1"/>
  <c r="H166" i="5" s="1"/>
  <c r="C216" i="5"/>
  <c r="D216" i="5" s="1"/>
  <c r="H216" i="5" s="1"/>
  <c r="C187" i="5"/>
  <c r="D187" i="5" s="1"/>
  <c r="H187" i="5" s="1"/>
  <c r="C195" i="5"/>
  <c r="D195" i="5" s="1"/>
  <c r="H195" i="5" s="1"/>
  <c r="C213" i="5"/>
  <c r="D213" i="5" s="1"/>
  <c r="H213" i="5" s="1"/>
  <c r="C217" i="5"/>
  <c r="D217" i="5" s="1"/>
  <c r="H217" i="5" s="1"/>
  <c r="C181" i="5"/>
  <c r="D181" i="5" s="1"/>
  <c r="H181" i="5" s="1"/>
  <c r="C209" i="5"/>
  <c r="D209" i="5" s="1"/>
  <c r="H209" i="5" s="1"/>
  <c r="C157" i="5"/>
  <c r="D157" i="5" s="1"/>
  <c r="H157" i="5" s="1"/>
  <c r="C148" i="5"/>
  <c r="D148" i="5" s="1"/>
  <c r="H148" i="5" s="1"/>
  <c r="C161" i="5"/>
  <c r="D161" i="5" s="1"/>
  <c r="H161" i="5" s="1"/>
  <c r="C138" i="5"/>
  <c r="D138" i="5" s="1"/>
  <c r="H138" i="5" s="1"/>
  <c r="C171" i="5"/>
  <c r="D171" i="5" s="1"/>
  <c r="H171" i="5" s="1"/>
  <c r="C143" i="5"/>
  <c r="D143" i="5" s="1"/>
  <c r="H143" i="5" s="1"/>
  <c r="C158" i="5"/>
  <c r="D158" i="5" s="1"/>
  <c r="H158" i="5" s="1"/>
  <c r="C190" i="5"/>
  <c r="D190" i="5" s="1"/>
  <c r="H190" i="5" s="1"/>
  <c r="C208" i="5"/>
  <c r="D208" i="5" s="1"/>
  <c r="H208" i="5" s="1"/>
  <c r="C184" i="5"/>
  <c r="D184" i="5" s="1"/>
  <c r="H184" i="5" s="1"/>
  <c r="C202" i="5"/>
  <c r="D202" i="5" s="1"/>
  <c r="H202" i="5" s="1"/>
  <c r="C185" i="5"/>
  <c r="D185" i="5" s="1"/>
  <c r="H185" i="5" s="1"/>
  <c r="C172" i="5"/>
  <c r="D172" i="5" s="1"/>
  <c r="H172" i="5" s="1"/>
  <c r="C182" i="5"/>
  <c r="D182" i="5" s="1"/>
  <c r="H182" i="5" s="1"/>
  <c r="C189" i="5"/>
  <c r="D189" i="5" s="1"/>
  <c r="H189" i="5" s="1"/>
  <c r="C165" i="5"/>
  <c r="D165" i="5" s="1"/>
  <c r="H165" i="5" s="1"/>
  <c r="C149" i="5"/>
  <c r="D149" i="5" s="1"/>
  <c r="H149" i="5" s="1"/>
  <c r="C140" i="5"/>
  <c r="D140" i="5" s="1"/>
  <c r="H140" i="5" s="1"/>
  <c r="C153" i="5"/>
  <c r="D153" i="5" s="1"/>
  <c r="H153" i="5" s="1"/>
  <c r="C176" i="5"/>
  <c r="D176" i="5" s="1"/>
  <c r="H176" i="5" s="1"/>
  <c r="C130" i="5"/>
  <c r="D130" i="5" s="1"/>
  <c r="H130" i="5" s="1"/>
  <c r="C135" i="5"/>
  <c r="D135" i="5" s="1"/>
  <c r="H135" i="5" s="1"/>
  <c r="C150" i="5"/>
  <c r="D150" i="5" s="1"/>
  <c r="H150" i="5" s="1"/>
  <c r="C197" i="5"/>
  <c r="D197" i="5" s="1"/>
  <c r="H197" i="5" s="1"/>
  <c r="C215" i="5"/>
  <c r="D215" i="5" s="1"/>
  <c r="H215" i="5" s="1"/>
  <c r="C219" i="5"/>
  <c r="D219" i="5" s="1"/>
  <c r="H219" i="5" s="1"/>
  <c r="C198" i="5"/>
  <c r="D198" i="5" s="1"/>
  <c r="H198" i="5" s="1"/>
  <c r="C154" i="5"/>
  <c r="D154" i="5" s="1"/>
  <c r="H154" i="5" s="1"/>
  <c r="C141" i="5"/>
  <c r="D141" i="5" s="1"/>
  <c r="H141" i="5" s="1"/>
  <c r="C132" i="5"/>
  <c r="D132" i="5" s="1"/>
  <c r="H132" i="5" s="1"/>
  <c r="C145" i="5"/>
  <c r="D145" i="5" s="1"/>
  <c r="H145" i="5" s="1"/>
  <c r="C168" i="5"/>
  <c r="D168" i="5" s="1"/>
  <c r="H168" i="5" s="1"/>
  <c r="C146" i="5"/>
  <c r="D146" i="5" s="1"/>
  <c r="H146" i="5" s="1"/>
  <c r="C163" i="5"/>
  <c r="D163" i="5" s="1"/>
  <c r="H163" i="5" s="1"/>
  <c r="C142" i="5"/>
  <c r="D142" i="5" s="1"/>
  <c r="H142" i="5" s="1"/>
  <c r="C206" i="5"/>
  <c r="D206" i="5" s="1"/>
  <c r="H206" i="5" s="1"/>
  <c r="C218" i="5"/>
  <c r="D218" i="5" s="1"/>
  <c r="H218" i="5" s="1"/>
  <c r="C204" i="5"/>
  <c r="D204" i="5" s="1"/>
  <c r="H204" i="5" s="1"/>
  <c r="C191" i="5"/>
  <c r="D191" i="5" s="1"/>
  <c r="H191" i="5" s="1"/>
  <c r="C144" i="5"/>
  <c r="D144" i="5" s="1"/>
  <c r="H144" i="5" s="1"/>
  <c r="C179" i="5"/>
  <c r="D179" i="5" s="1"/>
  <c r="H179" i="5" s="1"/>
  <c r="C133" i="5"/>
  <c r="D133" i="5" s="1"/>
  <c r="H133" i="5" s="1"/>
  <c r="C155" i="5"/>
  <c r="D155" i="5" s="1"/>
  <c r="H155" i="5" s="1"/>
  <c r="C137" i="5"/>
  <c r="D137" i="5" s="1"/>
  <c r="H137" i="5" s="1"/>
  <c r="C160" i="5"/>
  <c r="D160" i="5" s="1"/>
  <c r="H160" i="5" s="1"/>
  <c r="C183" i="5"/>
  <c r="D183" i="5" s="1"/>
  <c r="H183" i="5" s="1"/>
  <c r="C170" i="5"/>
  <c r="D170" i="5" s="1"/>
  <c r="H170" i="5" s="1"/>
  <c r="C134" i="5"/>
  <c r="D134" i="5" s="1"/>
  <c r="H134" i="5" s="1"/>
  <c r="C192" i="5"/>
  <c r="D192" i="5" s="1"/>
  <c r="H192" i="5" s="1"/>
  <c r="C186" i="5"/>
  <c r="D186" i="5" s="1"/>
  <c r="H186" i="5" s="1"/>
  <c r="C211" i="5"/>
  <c r="D211" i="5" s="1"/>
  <c r="H211" i="5" s="1"/>
  <c r="C212" i="5"/>
  <c r="D212" i="5" s="1"/>
  <c r="H212" i="5" s="1"/>
  <c r="C139" i="5"/>
  <c r="D139" i="5" s="1"/>
  <c r="H139" i="5" s="1"/>
  <c r="C147" i="5"/>
  <c r="D147" i="5" s="1"/>
  <c r="H147" i="5" s="1"/>
  <c r="C180" i="5"/>
  <c r="D180" i="5" s="1"/>
  <c r="H180" i="5" s="1"/>
  <c r="C127" i="5"/>
  <c r="D127" i="5" s="1"/>
  <c r="H127" i="5" s="1"/>
  <c r="C128" i="5"/>
  <c r="D128" i="5" s="1"/>
  <c r="H128" i="5" s="1"/>
  <c r="C152" i="5"/>
  <c r="D152" i="5" s="1"/>
  <c r="H152" i="5" s="1"/>
  <c r="C175" i="5"/>
  <c r="D175" i="5" s="1"/>
  <c r="H175" i="5" s="1"/>
  <c r="C129" i="5"/>
  <c r="D129" i="5" s="1"/>
  <c r="H129" i="5" s="1"/>
  <c r="C201" i="5"/>
  <c r="D201" i="5" s="1"/>
  <c r="H201" i="5" s="1"/>
  <c r="C220" i="5"/>
  <c r="D220" i="5" s="1"/>
  <c r="H220" i="5" s="1"/>
  <c r="C193" i="5"/>
  <c r="D193" i="5" s="1"/>
  <c r="H193" i="5" s="1"/>
  <c r="C214" i="5"/>
  <c r="D214" i="5" s="1"/>
  <c r="H214" i="5" s="1"/>
  <c r="C200" i="5"/>
  <c r="D200" i="5" s="1"/>
  <c r="H200" i="5" s="1"/>
  <c r="B46" i="5"/>
  <c r="B48" i="5" s="1"/>
  <c r="B34" i="5"/>
  <c r="D32" i="5"/>
  <c r="F159" i="5" l="1"/>
  <c r="G159" i="5" s="1"/>
  <c r="F147" i="5"/>
  <c r="G147" i="5" s="1"/>
  <c r="F219" i="5"/>
  <c r="G219" i="5" s="1"/>
  <c r="F212" i="5"/>
  <c r="G212" i="5" s="1"/>
  <c r="F196" i="5"/>
  <c r="G196" i="5" s="1"/>
  <c r="F153" i="5"/>
  <c r="G153" i="5" s="1"/>
  <c r="F135" i="5"/>
  <c r="G135" i="5" s="1"/>
  <c r="F139" i="5"/>
  <c r="G139" i="5" s="1"/>
  <c r="F189" i="5"/>
  <c r="G189" i="5" s="1"/>
  <c r="F187" i="5"/>
  <c r="G187" i="5" s="1"/>
  <c r="F200" i="5"/>
  <c r="G200" i="5" s="1"/>
  <c r="F216" i="5"/>
  <c r="G216" i="5" s="1"/>
  <c r="F140" i="5"/>
  <c r="G140" i="5" s="1"/>
  <c r="F154" i="5"/>
  <c r="G154" i="5" s="1"/>
  <c r="F152" i="5"/>
  <c r="G152" i="5" s="1"/>
  <c r="F137" i="5"/>
  <c r="G137" i="5" s="1"/>
  <c r="F182" i="5"/>
  <c r="G182" i="5" s="1"/>
  <c r="F149" i="5"/>
  <c r="G149" i="5" s="1"/>
  <c r="F142" i="5"/>
  <c r="G142" i="5" s="1"/>
  <c r="F168" i="5"/>
  <c r="G168" i="5" s="1"/>
  <c r="F130" i="5"/>
  <c r="G130" i="5" s="1"/>
  <c r="F218" i="5"/>
  <c r="G218" i="5" s="1"/>
  <c r="F186" i="5"/>
  <c r="G186" i="5" s="1"/>
  <c r="F217" i="5"/>
  <c r="G217" i="5" s="1"/>
  <c r="F192" i="5"/>
  <c r="G192" i="5" s="1"/>
  <c r="F162" i="5"/>
  <c r="G162" i="5" s="1"/>
  <c r="F158" i="5"/>
  <c r="G158" i="5" s="1"/>
  <c r="F146" i="5"/>
  <c r="G146" i="5" s="1"/>
  <c r="F136" i="5"/>
  <c r="G136" i="5" s="1"/>
  <c r="F138" i="5"/>
  <c r="G138" i="5" s="1"/>
  <c r="F128" i="5"/>
  <c r="G128" i="5" s="1"/>
  <c r="F166" i="5"/>
  <c r="G166" i="5" s="1"/>
  <c r="F141" i="5"/>
  <c r="G141" i="5" s="1"/>
  <c r="F180" i="5"/>
  <c r="G180" i="5" s="1"/>
  <c r="F167" i="5"/>
  <c r="G167" i="5" s="1"/>
  <c r="F197" i="5"/>
  <c r="G197" i="5" s="1"/>
  <c r="F206" i="5"/>
  <c r="G206" i="5" s="1"/>
  <c r="F203" i="5"/>
  <c r="G203" i="5" s="1"/>
  <c r="F193" i="5"/>
  <c r="G193" i="5" s="1"/>
  <c r="F207" i="5"/>
  <c r="G207" i="5" s="1"/>
  <c r="F157" i="5"/>
  <c r="G157" i="5" s="1"/>
  <c r="F176" i="5"/>
  <c r="G176" i="5" s="1"/>
  <c r="F133" i="5"/>
  <c r="G133" i="5" s="1"/>
  <c r="F172" i="5"/>
  <c r="G172" i="5" s="1"/>
  <c r="F179" i="5"/>
  <c r="G179" i="5" s="1"/>
  <c r="F185" i="5"/>
  <c r="G185" i="5" s="1"/>
  <c r="F205" i="5"/>
  <c r="G205" i="5" s="1"/>
  <c r="F202" i="5"/>
  <c r="G202" i="5" s="1"/>
  <c r="F199" i="5"/>
  <c r="G199" i="5" s="1"/>
  <c r="F201" i="5"/>
  <c r="G201" i="5" s="1"/>
  <c r="F174" i="5"/>
  <c r="G174" i="5" s="1"/>
  <c r="F132" i="5"/>
  <c r="G132" i="5" s="1"/>
  <c r="F127" i="5"/>
  <c r="F143" i="5"/>
  <c r="G143" i="5" s="1"/>
  <c r="F134" i="5"/>
  <c r="G134" i="5" s="1"/>
  <c r="F131" i="5"/>
  <c r="G131" i="5" s="1"/>
  <c r="F164" i="5"/>
  <c r="G164" i="5" s="1"/>
  <c r="F171" i="5"/>
  <c r="G171" i="5" s="1"/>
  <c r="F194" i="5"/>
  <c r="G194" i="5" s="1"/>
  <c r="F214" i="5"/>
  <c r="G214" i="5" s="1"/>
  <c r="F211" i="5"/>
  <c r="G211" i="5" s="1"/>
  <c r="F209" i="5"/>
  <c r="G209" i="5" s="1"/>
  <c r="F188" i="5"/>
  <c r="G188" i="5" s="1"/>
  <c r="F195" i="5"/>
  <c r="G195" i="5" s="1"/>
  <c r="F129" i="5"/>
  <c r="G129" i="5" s="1"/>
  <c r="F150" i="5"/>
  <c r="G150" i="5" s="1"/>
  <c r="F178" i="5"/>
  <c r="G178" i="5" s="1"/>
  <c r="F160" i="5"/>
  <c r="G160" i="5" s="1"/>
  <c r="F181" i="5"/>
  <c r="G181" i="5" s="1"/>
  <c r="F144" i="5"/>
  <c r="G144" i="5" s="1"/>
  <c r="F156" i="5"/>
  <c r="G156" i="5" s="1"/>
  <c r="F163" i="5"/>
  <c r="G163" i="5" s="1"/>
  <c r="F190" i="5"/>
  <c r="G190" i="5" s="1"/>
  <c r="F210" i="5"/>
  <c r="G210" i="5" s="1"/>
  <c r="F215" i="5"/>
  <c r="G215" i="5" s="1"/>
  <c r="F220" i="5"/>
  <c r="G220" i="5" s="1"/>
  <c r="F204" i="5"/>
  <c r="G204" i="5" s="1"/>
  <c r="F165" i="5"/>
  <c r="G165" i="5" s="1"/>
  <c r="F145" i="5"/>
  <c r="G145" i="5" s="1"/>
  <c r="F151" i="5"/>
  <c r="G151" i="5" s="1"/>
  <c r="F177" i="5"/>
  <c r="G177" i="5" s="1"/>
  <c r="F169" i="5"/>
  <c r="G169" i="5" s="1"/>
  <c r="F170" i="5"/>
  <c r="G170" i="5" s="1"/>
  <c r="F161" i="5"/>
  <c r="G161" i="5" s="1"/>
  <c r="F183" i="5"/>
  <c r="G183" i="5" s="1"/>
  <c r="F173" i="5"/>
  <c r="G173" i="5" s="1"/>
  <c r="F175" i="5"/>
  <c r="G175" i="5" s="1"/>
  <c r="F148" i="5"/>
  <c r="G148" i="5" s="1"/>
  <c r="F155" i="5"/>
  <c r="G155" i="5" s="1"/>
  <c r="F198" i="5"/>
  <c r="G198" i="5" s="1"/>
  <c r="F213" i="5"/>
  <c r="G213" i="5" s="1"/>
  <c r="F191" i="5"/>
  <c r="G191" i="5" s="1"/>
  <c r="F208" i="5"/>
  <c r="G208" i="5" s="1"/>
  <c r="F184" i="5"/>
  <c r="G184" i="5" s="1"/>
  <c r="D34" i="5"/>
  <c r="B36" i="5"/>
  <c r="B37" i="5" l="1"/>
  <c r="B62" i="5" s="1"/>
  <c r="B43" i="5"/>
  <c r="I128" i="5"/>
  <c r="J128" i="5" s="1"/>
  <c r="L128" i="5" s="1"/>
  <c r="M128" i="5" s="1"/>
  <c r="G127" i="5"/>
  <c r="K127" i="5"/>
  <c r="B49" i="5"/>
  <c r="B50" i="5" s="1"/>
  <c r="B41" i="5" l="1"/>
  <c r="B42" i="5" s="1"/>
  <c r="I129" i="5"/>
  <c r="J129" i="5" s="1"/>
  <c r="K129" i="5" s="1"/>
  <c r="K128" i="5"/>
  <c r="O128" i="5"/>
  <c r="P128" i="5" s="1"/>
  <c r="N128" i="5"/>
  <c r="B53" i="5" l="1"/>
  <c r="B56" i="5" s="1"/>
  <c r="I130" i="5"/>
  <c r="J130" i="5" s="1"/>
  <c r="K130" i="5" s="1"/>
  <c r="L129" i="5"/>
  <c r="M129" i="5" s="1"/>
  <c r="I131" i="5" l="1"/>
  <c r="J131" i="5" s="1"/>
  <c r="L131" i="5" s="1"/>
  <c r="M131" i="5" s="1"/>
  <c r="L130" i="5"/>
  <c r="M130" i="5" s="1"/>
  <c r="O129" i="5"/>
  <c r="P129" i="5" s="1"/>
  <c r="N129" i="5"/>
  <c r="I132" i="5" l="1"/>
  <c r="J132" i="5" s="1"/>
  <c r="K132" i="5" s="1"/>
  <c r="K131" i="5"/>
  <c r="O131" i="5"/>
  <c r="P131" i="5" s="1"/>
  <c r="N131" i="5"/>
  <c r="O130" i="5"/>
  <c r="P130" i="5" s="1"/>
  <c r="N130" i="5"/>
  <c r="I133" i="5" l="1"/>
  <c r="J133" i="5" s="1"/>
  <c r="K133" i="5" s="1"/>
  <c r="L132" i="5"/>
  <c r="O132" i="5" l="1"/>
  <c r="P132" i="5" s="1"/>
  <c r="M132" i="5"/>
  <c r="I134" i="5"/>
  <c r="J134" i="5" s="1"/>
  <c r="K134" i="5" s="1"/>
  <c r="L133" i="5"/>
  <c r="N132" i="5"/>
  <c r="O133" i="5" l="1"/>
  <c r="P133" i="5" s="1"/>
  <c r="M133" i="5"/>
  <c r="I135" i="5"/>
  <c r="J135" i="5" s="1"/>
  <c r="K135" i="5" s="1"/>
  <c r="L134" i="5"/>
  <c r="N133" i="5"/>
  <c r="O134" i="5" l="1"/>
  <c r="P134" i="5" s="1"/>
  <c r="M134" i="5"/>
  <c r="N134" i="5"/>
  <c r="I136" i="5"/>
  <c r="J136" i="5" s="1"/>
  <c r="K136" i="5" s="1"/>
  <c r="L135" i="5"/>
  <c r="O135" i="5" l="1"/>
  <c r="P135" i="5" s="1"/>
  <c r="M135" i="5"/>
  <c r="N135" i="5"/>
  <c r="I137" i="5"/>
  <c r="J137" i="5" s="1"/>
  <c r="K137" i="5" s="1"/>
  <c r="L136" i="5"/>
  <c r="O136" i="5" l="1"/>
  <c r="P136" i="5" s="1"/>
  <c r="M136" i="5"/>
  <c r="I138" i="5"/>
  <c r="J138" i="5" s="1"/>
  <c r="K138" i="5" s="1"/>
  <c r="L137" i="5"/>
  <c r="N136" i="5"/>
  <c r="N137" i="5" l="1"/>
  <c r="M137" i="5"/>
  <c r="L138" i="5"/>
  <c r="I139" i="5"/>
  <c r="J139" i="5" s="1"/>
  <c r="K139" i="5" s="1"/>
  <c r="O137" i="5"/>
  <c r="P137" i="5" s="1"/>
  <c r="N138" i="5" l="1"/>
  <c r="M138" i="5"/>
  <c r="L139" i="5"/>
  <c r="O138" i="5"/>
  <c r="P138" i="5" s="1"/>
  <c r="I140" i="5"/>
  <c r="J140" i="5" s="1"/>
  <c r="K140" i="5" s="1"/>
  <c r="N139" i="5" l="1"/>
  <c r="M139" i="5"/>
  <c r="L140" i="5"/>
  <c r="O139" i="5"/>
  <c r="P139" i="5" s="1"/>
  <c r="I141" i="5"/>
  <c r="J141" i="5" s="1"/>
  <c r="L141" i="5" s="1"/>
  <c r="M141" i="5" s="1"/>
  <c r="N140" i="5" l="1"/>
  <c r="M140" i="5"/>
  <c r="K141" i="5"/>
  <c r="O140" i="5"/>
  <c r="P140" i="5" s="1"/>
  <c r="I142" i="5"/>
  <c r="J142" i="5" s="1"/>
  <c r="K142" i="5" s="1"/>
  <c r="O141" i="5"/>
  <c r="P141" i="5" s="1"/>
  <c r="N141" i="5"/>
  <c r="L142" i="5" l="1"/>
  <c r="I143" i="5"/>
  <c r="J143" i="5" s="1"/>
  <c r="K143" i="5" s="1"/>
  <c r="O142" i="5" l="1"/>
  <c r="P142" i="5" s="1"/>
  <c r="M142" i="5"/>
  <c r="N142" i="5"/>
  <c r="I144" i="5"/>
  <c r="J144" i="5" s="1"/>
  <c r="K144" i="5" s="1"/>
  <c r="L143" i="5"/>
  <c r="O143" i="5" l="1"/>
  <c r="P143" i="5" s="1"/>
  <c r="M143" i="5"/>
  <c r="L144" i="5"/>
  <c r="I145" i="5"/>
  <c r="J145" i="5" s="1"/>
  <c r="K145" i="5" s="1"/>
  <c r="N143" i="5"/>
  <c r="O144" i="5" l="1"/>
  <c r="P144" i="5" s="1"/>
  <c r="M144" i="5"/>
  <c r="L145" i="5"/>
  <c r="I146" i="5"/>
  <c r="J146" i="5" s="1"/>
  <c r="L146" i="5" s="1"/>
  <c r="M146" i="5" s="1"/>
  <c r="N144" i="5"/>
  <c r="O145" i="5" l="1"/>
  <c r="P145" i="5" s="1"/>
  <c r="M145" i="5"/>
  <c r="I147" i="5"/>
  <c r="J147" i="5" s="1"/>
  <c r="L147" i="5" s="1"/>
  <c r="M147" i="5" s="1"/>
  <c r="N145" i="5"/>
  <c r="K146" i="5"/>
  <c r="O146" i="5"/>
  <c r="P146" i="5" s="1"/>
  <c r="N146" i="5"/>
  <c r="K147" i="5" l="1"/>
  <c r="I148" i="5"/>
  <c r="J148" i="5" s="1"/>
  <c r="K148" i="5" s="1"/>
  <c r="O147" i="5"/>
  <c r="P147" i="5" s="1"/>
  <c r="N147" i="5"/>
  <c r="L148" i="5" l="1"/>
  <c r="I149" i="5"/>
  <c r="I150" i="5" s="1"/>
  <c r="J150" i="5" s="1"/>
  <c r="O148" i="5" l="1"/>
  <c r="P148" i="5" s="1"/>
  <c r="M148" i="5"/>
  <c r="I151" i="5"/>
  <c r="I152" i="5" s="1"/>
  <c r="J149" i="5"/>
  <c r="K149" i="5" s="1"/>
  <c r="N148" i="5"/>
  <c r="K150" i="5"/>
  <c r="L150" i="5"/>
  <c r="M150" i="5" s="1"/>
  <c r="J151" i="5" l="1"/>
  <c r="K151" i="5" s="1"/>
  <c r="L149" i="5"/>
  <c r="O150" i="5"/>
  <c r="P150" i="5" s="1"/>
  <c r="N150" i="5"/>
  <c r="J152" i="5"/>
  <c r="I153" i="5"/>
  <c r="O149" i="5" l="1"/>
  <c r="P149" i="5" s="1"/>
  <c r="M149" i="5"/>
  <c r="L151" i="5"/>
  <c r="N149" i="5"/>
  <c r="K152" i="5"/>
  <c r="L152" i="5"/>
  <c r="M152" i="5" s="1"/>
  <c r="J153" i="5"/>
  <c r="I154" i="5"/>
  <c r="O151" i="5" l="1"/>
  <c r="P151" i="5" s="1"/>
  <c r="M151" i="5"/>
  <c r="N151" i="5"/>
  <c r="O152" i="5"/>
  <c r="P152" i="5" s="1"/>
  <c r="N152" i="5"/>
  <c r="K153" i="5"/>
  <c r="L153" i="5"/>
  <c r="M153" i="5" s="1"/>
  <c r="J154" i="5"/>
  <c r="I155" i="5"/>
  <c r="O153" i="5" l="1"/>
  <c r="P153" i="5" s="1"/>
  <c r="N153" i="5"/>
  <c r="K154" i="5"/>
  <c r="L154" i="5"/>
  <c r="M154" i="5" s="1"/>
  <c r="J155" i="5"/>
  <c r="I156" i="5"/>
  <c r="O154" i="5" l="1"/>
  <c r="P154" i="5" s="1"/>
  <c r="N154" i="5"/>
  <c r="K155" i="5"/>
  <c r="L155" i="5"/>
  <c r="M155" i="5" s="1"/>
  <c r="J156" i="5"/>
  <c r="I157" i="5"/>
  <c r="O155" i="5" l="1"/>
  <c r="P155" i="5" s="1"/>
  <c r="N155" i="5"/>
  <c r="K156" i="5"/>
  <c r="L156" i="5"/>
  <c r="M156" i="5" s="1"/>
  <c r="J157" i="5"/>
  <c r="I158" i="5"/>
  <c r="O156" i="5" l="1"/>
  <c r="P156" i="5" s="1"/>
  <c r="N156" i="5"/>
  <c r="K157" i="5"/>
  <c r="L157" i="5"/>
  <c r="M157" i="5" s="1"/>
  <c r="J158" i="5"/>
  <c r="I159" i="5"/>
  <c r="O157" i="5" l="1"/>
  <c r="P157" i="5" s="1"/>
  <c r="N157" i="5"/>
  <c r="K158" i="5"/>
  <c r="L158" i="5"/>
  <c r="M158" i="5" s="1"/>
  <c r="J159" i="5"/>
  <c r="I160" i="5"/>
  <c r="O158" i="5" l="1"/>
  <c r="P158" i="5" s="1"/>
  <c r="N158" i="5"/>
  <c r="K159" i="5"/>
  <c r="L159" i="5"/>
  <c r="M159" i="5" s="1"/>
  <c r="J160" i="5"/>
  <c r="I161" i="5"/>
  <c r="O159" i="5" l="1"/>
  <c r="P159" i="5" s="1"/>
  <c r="N159" i="5"/>
  <c r="K160" i="5"/>
  <c r="L160" i="5"/>
  <c r="M160" i="5" s="1"/>
  <c r="J161" i="5"/>
  <c r="I162" i="5"/>
  <c r="O160" i="5" l="1"/>
  <c r="P160" i="5" s="1"/>
  <c r="N160" i="5"/>
  <c r="K161" i="5"/>
  <c r="L161" i="5"/>
  <c r="M161" i="5" s="1"/>
  <c r="J162" i="5"/>
  <c r="I163" i="5"/>
  <c r="O161" i="5" l="1"/>
  <c r="P161" i="5" s="1"/>
  <c r="N161" i="5"/>
  <c r="K162" i="5"/>
  <c r="L162" i="5"/>
  <c r="M162" i="5" s="1"/>
  <c r="J163" i="5"/>
  <c r="I164" i="5"/>
  <c r="O162" i="5" l="1"/>
  <c r="P162" i="5" s="1"/>
  <c r="N162" i="5"/>
  <c r="K163" i="5"/>
  <c r="L163" i="5"/>
  <c r="M163" i="5" s="1"/>
  <c r="J164" i="5"/>
  <c r="I165" i="5"/>
  <c r="O163" i="5" l="1"/>
  <c r="P163" i="5" s="1"/>
  <c r="N163" i="5"/>
  <c r="K164" i="5"/>
  <c r="L164" i="5"/>
  <c r="M164" i="5" s="1"/>
  <c r="J165" i="5"/>
  <c r="I166" i="5"/>
  <c r="O164" i="5" l="1"/>
  <c r="P164" i="5" s="1"/>
  <c r="N164" i="5"/>
  <c r="K165" i="5"/>
  <c r="L165" i="5"/>
  <c r="M165" i="5" s="1"/>
  <c r="J166" i="5"/>
  <c r="I167" i="5"/>
  <c r="O165" i="5" l="1"/>
  <c r="P165" i="5" s="1"/>
  <c r="N165" i="5"/>
  <c r="K166" i="5"/>
  <c r="L166" i="5"/>
  <c r="M166" i="5" s="1"/>
  <c r="J167" i="5"/>
  <c r="I168" i="5"/>
  <c r="O166" i="5" l="1"/>
  <c r="P166" i="5" s="1"/>
  <c r="N166" i="5"/>
  <c r="K167" i="5"/>
  <c r="L167" i="5"/>
  <c r="M167" i="5" s="1"/>
  <c r="J168" i="5"/>
  <c r="I169" i="5"/>
  <c r="O167" i="5" l="1"/>
  <c r="P167" i="5" s="1"/>
  <c r="N167" i="5"/>
  <c r="K168" i="5"/>
  <c r="L168" i="5"/>
  <c r="M168" i="5" s="1"/>
  <c r="J169" i="5"/>
  <c r="I170" i="5"/>
  <c r="O168" i="5" l="1"/>
  <c r="P168" i="5" s="1"/>
  <c r="N168" i="5"/>
  <c r="K169" i="5"/>
  <c r="L169" i="5"/>
  <c r="M169" i="5" s="1"/>
  <c r="J170" i="5"/>
  <c r="I171" i="5"/>
  <c r="O169" i="5" l="1"/>
  <c r="P169" i="5" s="1"/>
  <c r="N169" i="5"/>
  <c r="K170" i="5"/>
  <c r="L170" i="5"/>
  <c r="M170" i="5" s="1"/>
  <c r="J171" i="5"/>
  <c r="I172" i="5"/>
  <c r="O170" i="5" l="1"/>
  <c r="P170" i="5" s="1"/>
  <c r="N170" i="5"/>
  <c r="K171" i="5"/>
  <c r="L171" i="5"/>
  <c r="M171" i="5" s="1"/>
  <c r="J172" i="5"/>
  <c r="I173" i="5"/>
  <c r="O171" i="5" l="1"/>
  <c r="P171" i="5" s="1"/>
  <c r="N171" i="5"/>
  <c r="K172" i="5"/>
  <c r="L172" i="5"/>
  <c r="M172" i="5" s="1"/>
  <c r="J173" i="5"/>
  <c r="I174" i="5"/>
  <c r="O172" i="5" l="1"/>
  <c r="P172" i="5" s="1"/>
  <c r="N172" i="5"/>
  <c r="K173" i="5"/>
  <c r="L173" i="5"/>
  <c r="M173" i="5" s="1"/>
  <c r="J174" i="5"/>
  <c r="I175" i="5"/>
  <c r="O173" i="5" l="1"/>
  <c r="P173" i="5" s="1"/>
  <c r="N173" i="5"/>
  <c r="K174" i="5"/>
  <c r="L174" i="5"/>
  <c r="M174" i="5" s="1"/>
  <c r="J175" i="5"/>
  <c r="I176" i="5"/>
  <c r="O174" i="5" l="1"/>
  <c r="P174" i="5" s="1"/>
  <c r="N174" i="5"/>
  <c r="K175" i="5"/>
  <c r="L175" i="5"/>
  <c r="M175" i="5" s="1"/>
  <c r="J176" i="5"/>
  <c r="I177" i="5"/>
  <c r="O175" i="5" l="1"/>
  <c r="P175" i="5" s="1"/>
  <c r="N175" i="5"/>
  <c r="K176" i="5"/>
  <c r="L176" i="5"/>
  <c r="M176" i="5" s="1"/>
  <c r="J177" i="5"/>
  <c r="I178" i="5"/>
  <c r="O176" i="5" l="1"/>
  <c r="P176" i="5" s="1"/>
  <c r="N176" i="5"/>
  <c r="K177" i="5"/>
  <c r="L177" i="5"/>
  <c r="M177" i="5" s="1"/>
  <c r="J178" i="5"/>
  <c r="I179" i="5"/>
  <c r="O177" i="5" l="1"/>
  <c r="P177" i="5" s="1"/>
  <c r="N177" i="5"/>
  <c r="K178" i="5"/>
  <c r="L178" i="5"/>
  <c r="M178" i="5" s="1"/>
  <c r="J179" i="5"/>
  <c r="I180" i="5"/>
  <c r="O178" i="5" l="1"/>
  <c r="P178" i="5" s="1"/>
  <c r="N178" i="5"/>
  <c r="K179" i="5"/>
  <c r="L179" i="5"/>
  <c r="M179" i="5" s="1"/>
  <c r="J180" i="5"/>
  <c r="I181" i="5"/>
  <c r="O179" i="5" l="1"/>
  <c r="P179" i="5" s="1"/>
  <c r="N179" i="5"/>
  <c r="K180" i="5"/>
  <c r="L180" i="5"/>
  <c r="M180" i="5" s="1"/>
  <c r="J181" i="5"/>
  <c r="I182" i="5"/>
  <c r="O180" i="5" l="1"/>
  <c r="P180" i="5" s="1"/>
  <c r="N180" i="5"/>
  <c r="K181" i="5"/>
  <c r="L181" i="5"/>
  <c r="M181" i="5" s="1"/>
  <c r="J182" i="5"/>
  <c r="I183" i="5"/>
  <c r="O181" i="5" l="1"/>
  <c r="P181" i="5" s="1"/>
  <c r="N181" i="5"/>
  <c r="K182" i="5"/>
  <c r="L182" i="5"/>
  <c r="M182" i="5" s="1"/>
  <c r="J183" i="5"/>
  <c r="I184" i="5"/>
  <c r="O182" i="5" l="1"/>
  <c r="P182" i="5" s="1"/>
  <c r="N182" i="5"/>
  <c r="K183" i="5"/>
  <c r="L183" i="5"/>
  <c r="M183" i="5" s="1"/>
  <c r="J184" i="5"/>
  <c r="I185" i="5"/>
  <c r="O183" i="5" l="1"/>
  <c r="P183" i="5" s="1"/>
  <c r="N183" i="5"/>
  <c r="K184" i="5"/>
  <c r="L184" i="5"/>
  <c r="M184" i="5" s="1"/>
  <c r="J185" i="5"/>
  <c r="I186" i="5"/>
  <c r="O184" i="5" l="1"/>
  <c r="P184" i="5" s="1"/>
  <c r="N184" i="5"/>
  <c r="K185" i="5"/>
  <c r="L185" i="5"/>
  <c r="M185" i="5" s="1"/>
  <c r="J186" i="5"/>
  <c r="I187" i="5"/>
  <c r="O185" i="5" l="1"/>
  <c r="P185" i="5" s="1"/>
  <c r="N185" i="5"/>
  <c r="K186" i="5"/>
  <c r="L186" i="5"/>
  <c r="M186" i="5" s="1"/>
  <c r="J187" i="5"/>
  <c r="I188" i="5"/>
  <c r="O186" i="5" l="1"/>
  <c r="P186" i="5" s="1"/>
  <c r="N186" i="5"/>
  <c r="K187" i="5"/>
  <c r="L187" i="5"/>
  <c r="M187" i="5" s="1"/>
  <c r="J188" i="5"/>
  <c r="I189" i="5"/>
  <c r="O187" i="5" l="1"/>
  <c r="P187" i="5" s="1"/>
  <c r="N187" i="5"/>
  <c r="K188" i="5"/>
  <c r="L188" i="5"/>
  <c r="M188" i="5" s="1"/>
  <c r="J189" i="5"/>
  <c r="I190" i="5"/>
  <c r="O188" i="5" l="1"/>
  <c r="P188" i="5" s="1"/>
  <c r="N188" i="5"/>
  <c r="K189" i="5"/>
  <c r="L189" i="5"/>
  <c r="M189" i="5" s="1"/>
  <c r="J190" i="5"/>
  <c r="I191" i="5"/>
  <c r="O189" i="5" l="1"/>
  <c r="P189" i="5" s="1"/>
  <c r="N189" i="5"/>
  <c r="K190" i="5"/>
  <c r="L190" i="5"/>
  <c r="M190" i="5" s="1"/>
  <c r="J191" i="5"/>
  <c r="I192" i="5"/>
  <c r="O190" i="5" l="1"/>
  <c r="P190" i="5" s="1"/>
  <c r="N190" i="5"/>
  <c r="K191" i="5"/>
  <c r="L191" i="5"/>
  <c r="M191" i="5" s="1"/>
  <c r="J192" i="5"/>
  <c r="I193" i="5"/>
  <c r="O191" i="5" l="1"/>
  <c r="P191" i="5" s="1"/>
  <c r="N191" i="5"/>
  <c r="K192" i="5"/>
  <c r="L192" i="5"/>
  <c r="M192" i="5" s="1"/>
  <c r="J193" i="5"/>
  <c r="I194" i="5"/>
  <c r="O192" i="5" l="1"/>
  <c r="P192" i="5" s="1"/>
  <c r="N192" i="5"/>
  <c r="K193" i="5"/>
  <c r="L193" i="5"/>
  <c r="M193" i="5" s="1"/>
  <c r="J194" i="5"/>
  <c r="I195" i="5"/>
  <c r="O193" i="5" l="1"/>
  <c r="P193" i="5" s="1"/>
  <c r="N193" i="5"/>
  <c r="K194" i="5"/>
  <c r="L194" i="5"/>
  <c r="M194" i="5" s="1"/>
  <c r="J195" i="5"/>
  <c r="I196" i="5"/>
  <c r="O194" i="5" l="1"/>
  <c r="P194" i="5" s="1"/>
  <c r="N194" i="5"/>
  <c r="K195" i="5"/>
  <c r="L195" i="5"/>
  <c r="M195" i="5" s="1"/>
  <c r="J196" i="5"/>
  <c r="I197" i="5"/>
  <c r="O195" i="5" l="1"/>
  <c r="P195" i="5" s="1"/>
  <c r="N195" i="5"/>
  <c r="K196" i="5"/>
  <c r="L196" i="5"/>
  <c r="M196" i="5" s="1"/>
  <c r="J197" i="5"/>
  <c r="I198" i="5"/>
  <c r="O196" i="5" l="1"/>
  <c r="P196" i="5" s="1"/>
  <c r="N196" i="5"/>
  <c r="K197" i="5"/>
  <c r="L197" i="5"/>
  <c r="M197" i="5" s="1"/>
  <c r="J198" i="5"/>
  <c r="I199" i="5"/>
  <c r="O197" i="5" l="1"/>
  <c r="P197" i="5" s="1"/>
  <c r="N197" i="5"/>
  <c r="K198" i="5"/>
  <c r="L198" i="5"/>
  <c r="M198" i="5" s="1"/>
  <c r="J199" i="5"/>
  <c r="I200" i="5"/>
  <c r="O198" i="5" l="1"/>
  <c r="P198" i="5" s="1"/>
  <c r="N198" i="5"/>
  <c r="K199" i="5"/>
  <c r="L199" i="5"/>
  <c r="M199" i="5" s="1"/>
  <c r="J200" i="5"/>
  <c r="I201" i="5"/>
  <c r="O199" i="5" l="1"/>
  <c r="P199" i="5" s="1"/>
  <c r="N199" i="5"/>
  <c r="K200" i="5"/>
  <c r="L200" i="5"/>
  <c r="M200" i="5" s="1"/>
  <c r="J201" i="5"/>
  <c r="I202" i="5"/>
  <c r="O200" i="5" l="1"/>
  <c r="P200" i="5" s="1"/>
  <c r="N200" i="5"/>
  <c r="K201" i="5"/>
  <c r="L201" i="5"/>
  <c r="M201" i="5" s="1"/>
  <c r="J202" i="5"/>
  <c r="I203" i="5"/>
  <c r="O201" i="5" l="1"/>
  <c r="P201" i="5" s="1"/>
  <c r="N201" i="5"/>
  <c r="K202" i="5"/>
  <c r="L202" i="5"/>
  <c r="M202" i="5" s="1"/>
  <c r="J203" i="5"/>
  <c r="I204" i="5"/>
  <c r="O202" i="5" l="1"/>
  <c r="P202" i="5" s="1"/>
  <c r="N202" i="5"/>
  <c r="K203" i="5"/>
  <c r="L203" i="5"/>
  <c r="M203" i="5" s="1"/>
  <c r="J204" i="5"/>
  <c r="I205" i="5"/>
  <c r="O203" i="5" l="1"/>
  <c r="P203" i="5" s="1"/>
  <c r="N203" i="5"/>
  <c r="K204" i="5"/>
  <c r="L204" i="5"/>
  <c r="M204" i="5" s="1"/>
  <c r="J205" i="5"/>
  <c r="I206" i="5"/>
  <c r="O204" i="5" l="1"/>
  <c r="P204" i="5" s="1"/>
  <c r="N204" i="5"/>
  <c r="K205" i="5"/>
  <c r="L205" i="5"/>
  <c r="M205" i="5" s="1"/>
  <c r="J206" i="5"/>
  <c r="I207" i="5"/>
  <c r="O205" i="5" l="1"/>
  <c r="P205" i="5" s="1"/>
  <c r="N205" i="5"/>
  <c r="K206" i="5"/>
  <c r="L206" i="5"/>
  <c r="M206" i="5" s="1"/>
  <c r="J207" i="5"/>
  <c r="I208" i="5"/>
  <c r="O206" i="5" l="1"/>
  <c r="P206" i="5" s="1"/>
  <c r="N206" i="5"/>
  <c r="K207" i="5"/>
  <c r="L207" i="5"/>
  <c r="M207" i="5" s="1"/>
  <c r="J208" i="5"/>
  <c r="I209" i="5"/>
  <c r="O207" i="5" l="1"/>
  <c r="P207" i="5" s="1"/>
  <c r="N207" i="5"/>
  <c r="K208" i="5"/>
  <c r="L208" i="5"/>
  <c r="M208" i="5" s="1"/>
  <c r="J209" i="5"/>
  <c r="I210" i="5"/>
  <c r="O208" i="5" l="1"/>
  <c r="P208" i="5" s="1"/>
  <c r="N208" i="5"/>
  <c r="K209" i="5"/>
  <c r="L209" i="5"/>
  <c r="M209" i="5" s="1"/>
  <c r="J210" i="5"/>
  <c r="I211" i="5"/>
  <c r="O209" i="5" l="1"/>
  <c r="P209" i="5" s="1"/>
  <c r="N209" i="5"/>
  <c r="K210" i="5"/>
  <c r="L210" i="5"/>
  <c r="M210" i="5" s="1"/>
  <c r="J211" i="5"/>
  <c r="I212" i="5"/>
  <c r="O210" i="5" l="1"/>
  <c r="P210" i="5" s="1"/>
  <c r="N210" i="5"/>
  <c r="K211" i="5"/>
  <c r="L211" i="5"/>
  <c r="M211" i="5" s="1"/>
  <c r="J212" i="5"/>
  <c r="I213" i="5"/>
  <c r="O211" i="5" l="1"/>
  <c r="P211" i="5" s="1"/>
  <c r="N211" i="5"/>
  <c r="K212" i="5"/>
  <c r="L212" i="5"/>
  <c r="M212" i="5" s="1"/>
  <c r="J213" i="5"/>
  <c r="I214" i="5"/>
  <c r="O212" i="5" l="1"/>
  <c r="P212" i="5" s="1"/>
  <c r="N212" i="5"/>
  <c r="K213" i="5"/>
  <c r="L213" i="5"/>
  <c r="M213" i="5" s="1"/>
  <c r="J214" i="5"/>
  <c r="I215" i="5"/>
  <c r="O213" i="5" l="1"/>
  <c r="P213" i="5" s="1"/>
  <c r="N213" i="5"/>
  <c r="K214" i="5"/>
  <c r="L214" i="5"/>
  <c r="M214" i="5" s="1"/>
  <c r="J215" i="5"/>
  <c r="I216" i="5"/>
  <c r="O214" i="5" l="1"/>
  <c r="P214" i="5" s="1"/>
  <c r="N214" i="5"/>
  <c r="K215" i="5"/>
  <c r="L215" i="5"/>
  <c r="M215" i="5" s="1"/>
  <c r="J216" i="5"/>
  <c r="I217" i="5"/>
  <c r="O215" i="5" l="1"/>
  <c r="P215" i="5" s="1"/>
  <c r="N215" i="5"/>
  <c r="K216" i="5"/>
  <c r="L216" i="5"/>
  <c r="M216" i="5" s="1"/>
  <c r="J217" i="5"/>
  <c r="I218" i="5"/>
  <c r="O216" i="5" l="1"/>
  <c r="P216" i="5" s="1"/>
  <c r="N216" i="5"/>
  <c r="K217" i="5"/>
  <c r="L217" i="5"/>
  <c r="M217" i="5" s="1"/>
  <c r="J218" i="5"/>
  <c r="I219" i="5"/>
  <c r="I220" i="5" s="1"/>
  <c r="J220" i="5" s="1"/>
  <c r="L220" i="5" s="1"/>
  <c r="M220" i="5" s="1"/>
  <c r="O220" i="5" l="1"/>
  <c r="P220" i="5" s="1"/>
  <c r="N220" i="5"/>
  <c r="O217" i="5"/>
  <c r="P217" i="5" s="1"/>
  <c r="N217" i="5"/>
  <c r="K218" i="5"/>
  <c r="L218" i="5"/>
  <c r="M218" i="5" s="1"/>
  <c r="J219" i="5"/>
  <c r="K220" i="5"/>
  <c r="O218" i="5" l="1"/>
  <c r="P218" i="5" s="1"/>
  <c r="N218" i="5"/>
  <c r="K219" i="5"/>
  <c r="L219" i="5"/>
  <c r="M219" i="5" s="1"/>
  <c r="O219" i="5" l="1"/>
  <c r="P219" i="5" s="1"/>
  <c r="N219"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06" authorId="0" shapeId="0" xr:uid="{D289AE2E-5B0D-4FFE-AF6F-A75CCF1C9FB6}">
      <text>
        <r>
          <rPr>
            <sz val="10"/>
            <color rgb="FF000000"/>
            <rFont val="Arial"/>
          </rPr>
          <t>This is a value that is difficult to estimate. Use 0.015 to get started. The estimate can be improved with MachUp.</t>
        </r>
      </text>
    </comment>
  </commentList>
</comments>
</file>

<file path=xl/sharedStrings.xml><?xml version="1.0" encoding="utf-8"?>
<sst xmlns="http://schemas.openxmlformats.org/spreadsheetml/2006/main" count="713" uniqueCount="231">
  <si>
    <t>Aircraft Mass:</t>
  </si>
  <si>
    <t>kg</t>
  </si>
  <si>
    <t>Aircraft Battery mass fraction:</t>
  </si>
  <si>
    <t>dim.</t>
  </si>
  <si>
    <t>Cargo mass fraction:</t>
  </si>
  <si>
    <t>Airframe, propulsion, FCS fraction:</t>
  </si>
  <si>
    <t>Battery Energy/kg</t>
  </si>
  <si>
    <t>Wh/kg</t>
  </si>
  <si>
    <t>Battery Mass:</t>
  </si>
  <si>
    <t>lbm</t>
  </si>
  <si>
    <t>L/D:</t>
  </si>
  <si>
    <t>Lift Force:</t>
  </si>
  <si>
    <t>N</t>
  </si>
  <si>
    <t>Drag Force:</t>
  </si>
  <si>
    <t>m/s</t>
  </si>
  <si>
    <t>mph</t>
  </si>
  <si>
    <t>W</t>
  </si>
  <si>
    <t>kW</t>
  </si>
  <si>
    <t>Power Available:</t>
  </si>
  <si>
    <t>Disk Speed Vj:</t>
  </si>
  <si>
    <t>This is the disk speed through the prop/fan</t>
  </si>
  <si>
    <t>Air Density at Altitude:</t>
  </si>
  <si>
    <t>m</t>
  </si>
  <si>
    <t>Volumetric Flow Rate:</t>
  </si>
  <si>
    <t>Delta-Speed Through Disk:</t>
  </si>
  <si>
    <t>Freestream Speed:</t>
  </si>
  <si>
    <t>Prop Diameter:</t>
  </si>
  <si>
    <t>Prop Area:</t>
  </si>
  <si>
    <t>m^2</t>
  </si>
  <si>
    <t>m^3/s</t>
  </si>
  <si>
    <t>Mass flow rate:</t>
  </si>
  <si>
    <t>kg/m^3</t>
  </si>
  <si>
    <t>kg/s</t>
  </si>
  <si>
    <t>Thrust:</t>
  </si>
  <si>
    <t>lbf</t>
  </si>
  <si>
    <t>Based on velocity only. Ignores tip effects</t>
  </si>
  <si>
    <t>Mass remaining for passengers:</t>
  </si>
  <si>
    <t>Est Mass per passenger:</t>
  </si>
  <si>
    <t>Probably optimistic</t>
  </si>
  <si>
    <t>Pilot(s)</t>
  </si>
  <si>
    <t>Round number of passengers:</t>
  </si>
  <si>
    <t>Ideal # of pass:</t>
  </si>
  <si>
    <t>Theoretical Power Consumed:</t>
  </si>
  <si>
    <t>Correction factor for drag and tip effects:</t>
  </si>
  <si>
    <t>Corrected Power Consumed:</t>
  </si>
  <si>
    <t>Battery Capacity:</t>
  </si>
  <si>
    <t>Endurance:</t>
  </si>
  <si>
    <t>kW*h</t>
  </si>
  <si>
    <t>h</t>
  </si>
  <si>
    <t>W*h</t>
  </si>
  <si>
    <t>Range:</t>
  </si>
  <si>
    <t>miles</t>
  </si>
  <si>
    <t>Theoretical Propulsive Efficiency:</t>
  </si>
  <si>
    <t>Number of Props:</t>
  </si>
  <si>
    <t>Cruise Extra Thrust Margin:</t>
  </si>
  <si>
    <t>Cost of electricity:</t>
  </si>
  <si>
    <t>Dollars per kWh</t>
  </si>
  <si>
    <t>Cost per flight:</t>
  </si>
  <si>
    <t>Fraction of Capacity Used:</t>
  </si>
  <si>
    <t>Usable Capacity:</t>
  </si>
  <si>
    <t>Dollars per flight</t>
  </si>
  <si>
    <t>Cost per mile:</t>
  </si>
  <si>
    <t>Dollars per mile:</t>
  </si>
  <si>
    <t>miles per dollar</t>
  </si>
  <si>
    <t>Miles per dolllar:</t>
  </si>
  <si>
    <t>"Mach"</t>
  </si>
  <si>
    <t>km</t>
  </si>
  <si>
    <t>Dollars/passenger mile:</t>
  </si>
  <si>
    <t>Passenger miles per dollar:</t>
  </si>
  <si>
    <t>Cost per passenger per flight:</t>
  </si>
  <si>
    <t>Other Costs:</t>
  </si>
  <si>
    <t>Amortization of battery purchase/manuf</t>
  </si>
  <si>
    <t>Downtime due to battery charging?</t>
  </si>
  <si>
    <t>lbs</t>
  </si>
  <si>
    <t>Payload Mass</t>
  </si>
  <si>
    <t>Payload mass fraction:</t>
  </si>
  <si>
    <t>Gross Aircraft Mass:</t>
  </si>
  <si>
    <t>hp</t>
  </si>
  <si>
    <t>(Check the HP conversion)</t>
  </si>
  <si>
    <t>Power required for cruise</t>
  </si>
  <si>
    <t>Excess Thrust:</t>
  </si>
  <si>
    <t>Power Produced:</t>
  </si>
  <si>
    <t>Battery Cost:</t>
  </si>
  <si>
    <t>$/Kwh</t>
  </si>
  <si>
    <t>Est Lifetime of Battery:</t>
  </si>
  <si>
    <t>Cycles</t>
  </si>
  <si>
    <t>Cost of this battery:</t>
  </si>
  <si>
    <t>Aircraft inspection and maintenance</t>
  </si>
  <si>
    <t>Dollars per hour</t>
  </si>
  <si>
    <t>Dollars per charge</t>
  </si>
  <si>
    <t>Feet</t>
  </si>
  <si>
    <t>Cruise Disk Speed Vj:</t>
  </si>
  <si>
    <t>Batt Cost per hr:</t>
  </si>
  <si>
    <t>Approx Batt cost per charge:</t>
  </si>
  <si>
    <t>Est Operating Cost:</t>
  </si>
  <si>
    <t>Dollars per mile</t>
  </si>
  <si>
    <t>Total Cost Per Mile:</t>
  </si>
  <si>
    <t>dim</t>
  </si>
  <si>
    <t>Amortization of the aircraft's cost, excluding battery</t>
  </si>
  <si>
    <t>Eq Mile per gallon:</t>
  </si>
  <si>
    <t>Est Fuel Cost:</t>
  </si>
  <si>
    <t>Dollars per Gallon</t>
  </si>
  <si>
    <t>Dollars per Mile</t>
  </si>
  <si>
    <t>Miles per Gallon (based on cost)</t>
  </si>
  <si>
    <t>"Mach" (at sea level)</t>
  </si>
  <si>
    <t>Admittedly Optimistic</t>
  </si>
  <si>
    <t>kts</t>
  </si>
  <si>
    <t>Based on velocity only. Ignores tip effects. Are they significant? Reference?</t>
  </si>
  <si>
    <t>MW</t>
  </si>
  <si>
    <t>8k feet</t>
  </si>
  <si>
    <t>← VIA GOAL SEEK</t>
  </si>
  <si>
    <t>Useful Work per Dollar:</t>
  </si>
  <si>
    <t>lb-mile-speed/dollar</t>
  </si>
  <si>
    <t>Power Required:</t>
  </si>
  <si>
    <t>What is not captured here is the relationship between speed, altitude, and L/D. An aircraft will be optimized for a given cruise condition.</t>
  </si>
  <si>
    <t>Cruise Airspeed (True):</t>
  </si>
  <si>
    <t>Cruise L/D:</t>
  </si>
  <si>
    <t>Cruise Range:</t>
  </si>
  <si>
    <t>Cruise Endurance:</t>
  </si>
  <si>
    <t>Fractions Total:</t>
  </si>
  <si>
    <t>Initial Sizing:</t>
  </si>
  <si>
    <t>Max Cl:</t>
  </si>
  <si>
    <t>Takeoff Roe:</t>
  </si>
  <si>
    <t>slug/ft^3</t>
  </si>
  <si>
    <t>Stall Speed:</t>
  </si>
  <si>
    <t>kt</t>
  </si>
  <si>
    <t>ft/s</t>
  </si>
  <si>
    <t>Wing Area:</t>
  </si>
  <si>
    <t>ft^2</t>
  </si>
  <si>
    <t>Wing Span:</t>
  </si>
  <si>
    <t>ft</t>
  </si>
  <si>
    <t>Chord:</t>
  </si>
  <si>
    <t>AR:</t>
  </si>
  <si>
    <t>Target Cl for Cruise:</t>
  </si>
  <si>
    <t>Density:</t>
  </si>
  <si>
    <t>Cruise Speed:</t>
  </si>
  <si>
    <t>Optimal Cruise:</t>
  </si>
  <si>
    <t>Quickie:</t>
  </si>
  <si>
    <t>sq ft</t>
  </si>
  <si>
    <t>lb/sqft</t>
  </si>
  <si>
    <t>Empty Weight Data:</t>
  </si>
  <si>
    <t>Long-Eze:</t>
  </si>
  <si>
    <t>Vari-eze:</t>
  </si>
  <si>
    <t>(and that's minus the battery)</t>
  </si>
  <si>
    <t>Target airframe mass ratio</t>
  </si>
  <si>
    <t>What other requirements are there?</t>
  </si>
  <si>
    <t>Range</t>
  </si>
  <si>
    <t>Speed</t>
  </si>
  <si>
    <t>Payload</t>
  </si>
  <si>
    <t>Aerobatic/Normal/Utility load factors?</t>
  </si>
  <si>
    <t>LG Configuration?</t>
  </si>
  <si>
    <t>Compliance with FARs? Are GA Airplanes under Part 23?</t>
  </si>
  <si>
    <t>Charging time?</t>
  </si>
  <si>
    <t>Maneuverability?</t>
  </si>
  <si>
    <t>L/D</t>
  </si>
  <si>
    <t>Fuselage Drag Coeff.</t>
  </si>
  <si>
    <t>Wing</t>
  </si>
  <si>
    <t>Wing Zero Lift Drag Coeff.</t>
  </si>
  <si>
    <t>Approx Max. Lift Coeff.</t>
  </si>
  <si>
    <t>Oswald Efficiency Factor</t>
  </si>
  <si>
    <t>%</t>
  </si>
  <si>
    <t>Aspect Ratio</t>
  </si>
  <si>
    <t>Wingspan:</t>
  </si>
  <si>
    <t>in</t>
  </si>
  <si>
    <t>Landing Gear Cd</t>
  </si>
  <si>
    <t>Number of Wheels</t>
  </si>
  <si>
    <t>Wheel Diameter</t>
  </si>
  <si>
    <t>Wheel width</t>
  </si>
  <si>
    <t>Drag Coefficient w/respect to wing</t>
  </si>
  <si>
    <t>Speed * L/D</t>
  </si>
  <si>
    <t>Kts:</t>
  </si>
  <si>
    <t>Prop Efficiency:</t>
  </si>
  <si>
    <t>Drag: lbf</t>
  </si>
  <si>
    <t>Disk Speed: ft/s</t>
  </si>
  <si>
    <t>(Approximate!)</t>
  </si>
  <si>
    <t>L/D*Spd*Prop</t>
  </si>
  <si>
    <t>CRUISE PERFORMANCE ESTIMATE:</t>
  </si>
  <si>
    <t>Doesn't take any credit for the fuselage, for what it's worth.</t>
  </si>
  <si>
    <t>Est Best L/D</t>
  </si>
  <si>
    <t>Assuming this is Cl for L/D_max</t>
  </si>
  <si>
    <t>DRAG ESTIMATES:</t>
  </si>
  <si>
    <t>Fuselage</t>
  </si>
  <si>
    <t>Landing Gear</t>
  </si>
  <si>
    <t>ft-lbs</t>
  </si>
  <si>
    <t>Corrected Power Consumed: (ft-lb/s)</t>
  </si>
  <si>
    <t>Range: (nm)</t>
  </si>
  <si>
    <t>Endurance (mins):</t>
  </si>
  <si>
    <t>Total Zero-lift Drag Coeff:</t>
  </si>
  <si>
    <t>C_l</t>
  </si>
  <si>
    <t>C_d_lift:</t>
  </si>
  <si>
    <t>Total C_d</t>
  </si>
  <si>
    <t>Optimal Cruise Density:</t>
  </si>
  <si>
    <t>Fuel:</t>
  </si>
  <si>
    <t>Cost per Gallon</t>
  </si>
  <si>
    <t>Jet-A</t>
  </si>
  <si>
    <t>Avgas</t>
  </si>
  <si>
    <t>Premium Gas</t>
  </si>
  <si>
    <t>Automotive Diesel</t>
  </si>
  <si>
    <t>LNG (DGE)</t>
  </si>
  <si>
    <t>Cost per kwh</t>
  </si>
  <si>
    <t>Notes:</t>
  </si>
  <si>
    <t>0.12-0.15 per kwh</t>
  </si>
  <si>
    <t>Energy Density (kwh/Gal)</t>
  </si>
  <si>
    <t>(Primarily kerosene based)</t>
  </si>
  <si>
    <t>lbs/kwh</t>
  </si>
  <si>
    <t>lbs/Gal</t>
  </si>
  <si>
    <t>Combustion Efficiency</t>
  </si>
  <si>
    <t>Engine Efficiencies:</t>
  </si>
  <si>
    <t>Diesel Engine:</t>
  </si>
  <si>
    <t>Gas Engine:</t>
  </si>
  <si>
    <t>Turboshaft:</t>
  </si>
  <si>
    <t>Efficiency:</t>
  </si>
  <si>
    <t>(Mazda claims a skyactive engine can achieve 38-40% in certain conditions)</t>
  </si>
  <si>
    <t>Turbocharged Gas engine:</t>
  </si>
  <si>
    <t>(according to Grok)</t>
  </si>
  <si>
    <t>Rotax 912is:</t>
  </si>
  <si>
    <t>Engine:</t>
  </si>
  <si>
    <t>Cruise Power (hp)</t>
  </si>
  <si>
    <t>Weight:</t>
  </si>
  <si>
    <t>est GPH:</t>
  </si>
  <si>
    <t>Air Density:</t>
  </si>
  <si>
    <t>slug/cuft</t>
  </si>
  <si>
    <t>Operating Cost</t>
  </si>
  <si>
    <t>Build Cost</t>
  </si>
  <si>
    <t>Cost of electricity: (CA)</t>
  </si>
  <si>
    <t>Thermal Eff:</t>
  </si>
  <si>
    <t>Eq cost per kwh</t>
  </si>
  <si>
    <t>wh/kg</t>
  </si>
  <si>
    <t>Useful Work and speed per Dollar:</t>
  </si>
  <si>
    <t>Dollars per Hour:</t>
  </si>
  <si>
    <t>Dollars per hour: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</si>
</sst>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0.0000"/>
    <numFmt numFmtId="165" formatCode="0.000"/>
    <numFmt numFmtId="166" formatCode="0.0"/>
    <numFmt numFmtId="167" formatCode="_(&quot;$&quot;* #,##0.0_);_(&quot;$&quot;* \(#,##0.0\);_(&quot;$&quot;* &quot;-&quot;??_);_(@_)"/>
    <numFmt numFmtId="168" formatCode="_(* #,##0_);_(* \(#,##0\);_(* &quot;-&quot;??_);_(@_)"/>
    <numFmt numFmtId="169" formatCode="0.00000"/>
    <numFmt numFmtId="170" formatCode="_(&quot;$&quot;* #,##0.000_);_(&quot;$&quot;* \(#,##0.000\);_(&quot;$&quot;* &quot;-&quot;??_);_(@_)"/>
  </numFmts>
  <fonts count="15" x14ac:knownFonts="1">
    <font>
      <sz val="11"/>
      <color theme="1"/>
      <name val="Calibri"/>
      <family val="2"/>
      <scheme val="minor"/>
    </font>
    <font>
      <sz val="11"/>
      <color theme="1"/>
      <name val="Calibri"/>
      <family val="2"/>
      <scheme val="minor"/>
    </font>
    <font>
      <i/>
      <sz val="11"/>
      <color theme="1"/>
      <name val="Calibri"/>
      <family val="2"/>
      <scheme val="minor"/>
    </font>
    <font>
      <sz val="11"/>
      <color rgb="FF3F3F76"/>
      <name val="Calibri"/>
      <family val="2"/>
      <scheme val="minor"/>
    </font>
    <font>
      <sz val="11"/>
      <color rgb="FFFF0000"/>
      <name val="Calibri"/>
      <family val="2"/>
      <scheme val="minor"/>
    </font>
    <font>
      <b/>
      <sz val="11"/>
      <color theme="1"/>
      <name val="Calibri"/>
      <family val="2"/>
      <scheme val="minor"/>
    </font>
    <font>
      <b/>
      <sz val="11"/>
      <color rgb="FF3F3F3F"/>
      <name val="Calibri"/>
      <family val="2"/>
      <scheme val="minor"/>
    </font>
    <font>
      <sz val="10"/>
      <name val="Arial"/>
    </font>
    <font>
      <sz val="10"/>
      <color rgb="FF000000"/>
      <name val="Arial"/>
    </font>
    <font>
      <b/>
      <sz val="10"/>
      <name val="Arial"/>
      <family val="2"/>
    </font>
    <font>
      <sz val="10"/>
      <name val="Arial"/>
      <family val="2"/>
    </font>
    <font>
      <b/>
      <sz val="18"/>
      <color theme="1"/>
      <name val="Calibri"/>
      <family val="2"/>
      <scheme val="minor"/>
    </font>
    <font>
      <b/>
      <u/>
      <sz val="14"/>
      <color theme="1"/>
      <name val="Calibri"/>
      <family val="2"/>
      <scheme val="minor"/>
    </font>
    <font>
      <b/>
      <u/>
      <sz val="16"/>
      <color theme="1"/>
      <name val="Calibri"/>
      <family val="2"/>
      <scheme val="minor"/>
    </font>
    <font>
      <strike/>
      <sz val="11"/>
      <color theme="1"/>
      <name val="Calibri"/>
      <family val="2"/>
      <scheme val="minor"/>
    </font>
  </fonts>
  <fills count="8">
    <fill>
      <patternFill patternType="none"/>
    </fill>
    <fill>
      <patternFill patternType="gray125"/>
    </fill>
    <fill>
      <patternFill patternType="solid">
        <fgColor rgb="FFFFFF00"/>
        <bgColor indexed="64"/>
      </patternFill>
    </fill>
    <fill>
      <patternFill patternType="solid">
        <fgColor rgb="FFFFCC99"/>
      </patternFill>
    </fill>
    <fill>
      <patternFill patternType="solid">
        <fgColor rgb="FFFF0000"/>
        <bgColor indexed="64"/>
      </patternFill>
    </fill>
    <fill>
      <patternFill patternType="solid">
        <fgColor rgb="FFF2F2F2"/>
      </patternFill>
    </fill>
    <fill>
      <patternFill patternType="solid">
        <fgColor rgb="FF9FC5E8"/>
        <bgColor rgb="FF9FC5E8"/>
      </patternFill>
    </fill>
    <fill>
      <patternFill patternType="solid">
        <fgColor theme="2" tint="-0.249977111117893"/>
        <bgColor indexed="64"/>
      </patternFill>
    </fill>
  </fills>
  <borders count="10">
    <border>
      <left/>
      <right/>
      <top/>
      <bottom/>
      <diagonal/>
    </border>
    <border>
      <left style="thin">
        <color rgb="FF7F7F7F"/>
      </left>
      <right style="thin">
        <color rgb="FF7F7F7F"/>
      </right>
      <top style="thin">
        <color rgb="FF7F7F7F"/>
      </top>
      <bottom style="thin">
        <color rgb="FF7F7F7F"/>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5">
    <xf numFmtId="0" fontId="0" fillId="0" borderId="0"/>
    <xf numFmtId="44" fontId="1" fillId="0" borderId="0" applyFont="0" applyFill="0" applyBorder="0" applyAlignment="0" applyProtection="0"/>
    <xf numFmtId="0" fontId="3" fillId="3" borderId="1" applyNumberFormat="0" applyAlignment="0" applyProtection="0"/>
    <xf numFmtId="43" fontId="1" fillId="0" borderId="0" applyFont="0" applyFill="0" applyBorder="0" applyAlignment="0" applyProtection="0"/>
    <xf numFmtId="0" fontId="6" fillId="5" borderId="5" applyNumberFormat="0" applyAlignment="0" applyProtection="0"/>
  </cellStyleXfs>
  <cellXfs count="55">
    <xf numFmtId="0" fontId="0" fillId="0" borderId="0" xfId="0"/>
    <xf numFmtId="0" fontId="2" fillId="0" borderId="0" xfId="0" applyFont="1"/>
    <xf numFmtId="0" fontId="0" fillId="2" borderId="0" xfId="0" applyFill="1"/>
    <xf numFmtId="44" fontId="0" fillId="0" borderId="0" xfId="1" applyFont="1"/>
    <xf numFmtId="164" fontId="0" fillId="0" borderId="0" xfId="0" applyNumberFormat="1"/>
    <xf numFmtId="165" fontId="0" fillId="0" borderId="0" xfId="0" applyNumberFormat="1"/>
    <xf numFmtId="2" fontId="0" fillId="0" borderId="0" xfId="0" applyNumberFormat="1"/>
    <xf numFmtId="2" fontId="0" fillId="4" borderId="0" xfId="0" applyNumberFormat="1" applyFill="1"/>
    <xf numFmtId="0" fontId="3" fillId="3" borderId="1" xfId="2"/>
    <xf numFmtId="0" fontId="4" fillId="0" borderId="0" xfId="0" applyFont="1"/>
    <xf numFmtId="166" fontId="3" fillId="3" borderId="1" xfId="2" applyNumberFormat="1"/>
    <xf numFmtId="0" fontId="5" fillId="0" borderId="0" xfId="0" applyFont="1"/>
    <xf numFmtId="167" fontId="0" fillId="0" borderId="0" xfId="3" applyNumberFormat="1" applyFont="1"/>
    <xf numFmtId="44" fontId="0" fillId="0" borderId="0" xfId="0" applyNumberFormat="1"/>
    <xf numFmtId="168" fontId="0" fillId="0" borderId="0" xfId="3" applyNumberFormat="1" applyFont="1"/>
    <xf numFmtId="44" fontId="3" fillId="3" borderId="1" xfId="2" applyNumberFormat="1"/>
    <xf numFmtId="2" fontId="0" fillId="2" borderId="2" xfId="0" applyNumberFormat="1" applyFill="1" applyBorder="1"/>
    <xf numFmtId="2" fontId="0" fillId="2" borderId="3" xfId="0" applyNumberFormat="1" applyFill="1" applyBorder="1"/>
    <xf numFmtId="2" fontId="0" fillId="2" borderId="4" xfId="0" applyNumberFormat="1" applyFill="1" applyBorder="1"/>
    <xf numFmtId="166" fontId="0" fillId="0" borderId="0" xfId="0" applyNumberFormat="1"/>
    <xf numFmtId="1" fontId="0" fillId="0" borderId="0" xfId="0" applyNumberFormat="1"/>
    <xf numFmtId="166" fontId="0" fillId="4" borderId="0" xfId="0" applyNumberFormat="1" applyFill="1"/>
    <xf numFmtId="1" fontId="6" fillId="5" borderId="5" xfId="4" applyNumberFormat="1"/>
    <xf numFmtId="2" fontId="7" fillId="0" borderId="0" xfId="0" applyNumberFormat="1" applyFont="1" applyAlignment="1">
      <alignment horizontal="right"/>
    </xf>
    <xf numFmtId="0" fontId="7" fillId="0" borderId="0" xfId="0" applyFont="1"/>
    <xf numFmtId="0" fontId="7" fillId="0" borderId="6" xfId="0" applyFont="1" applyBorder="1"/>
    <xf numFmtId="165" fontId="7" fillId="0" borderId="6" xfId="0" applyNumberFormat="1" applyFont="1" applyBorder="1"/>
    <xf numFmtId="166" fontId="7" fillId="0" borderId="6" xfId="0" applyNumberFormat="1" applyFont="1" applyBorder="1"/>
    <xf numFmtId="165" fontId="7" fillId="0" borderId="0" xfId="0" applyNumberFormat="1" applyFont="1"/>
    <xf numFmtId="2" fontId="9" fillId="0" borderId="0" xfId="0" applyNumberFormat="1" applyFont="1" applyAlignment="1">
      <alignment horizontal="right"/>
    </xf>
    <xf numFmtId="0" fontId="10" fillId="0" borderId="6" xfId="0" applyFont="1" applyBorder="1"/>
    <xf numFmtId="0" fontId="9" fillId="0" borderId="0" xfId="0" applyFont="1"/>
    <xf numFmtId="0" fontId="11" fillId="0" borderId="0" xfId="0" applyFont="1"/>
    <xf numFmtId="2" fontId="7" fillId="7" borderId="0" xfId="0" applyNumberFormat="1" applyFont="1" applyFill="1"/>
    <xf numFmtId="169" fontId="0" fillId="0" borderId="0" xfId="0" applyNumberFormat="1"/>
    <xf numFmtId="165" fontId="3" fillId="3" borderId="1" xfId="2" applyNumberFormat="1"/>
    <xf numFmtId="2" fontId="3" fillId="3" borderId="1" xfId="2" applyNumberFormat="1"/>
    <xf numFmtId="10" fontId="3" fillId="3" borderId="1" xfId="2" applyNumberFormat="1"/>
    <xf numFmtId="0" fontId="12" fillId="0" borderId="0" xfId="0" applyFont="1"/>
    <xf numFmtId="0" fontId="13" fillId="0" borderId="0" xfId="0" applyFont="1"/>
    <xf numFmtId="2" fontId="7" fillId="0" borderId="0" xfId="0" applyNumberFormat="1" applyFont="1"/>
    <xf numFmtId="0" fontId="5" fillId="0" borderId="0" xfId="0" applyFont="1" applyAlignment="1">
      <alignment horizontal="right"/>
    </xf>
    <xf numFmtId="9" fontId="0" fillId="0" borderId="0" xfId="1" applyNumberFormat="1" applyFont="1"/>
    <xf numFmtId="44" fontId="5" fillId="0" borderId="0" xfId="1" applyFont="1"/>
    <xf numFmtId="9" fontId="5" fillId="0" borderId="0" xfId="1" applyNumberFormat="1" applyFont="1"/>
    <xf numFmtId="0" fontId="14" fillId="0" borderId="0" xfId="0" applyFont="1"/>
    <xf numFmtId="9" fontId="3" fillId="3" borderId="1" xfId="2" applyNumberFormat="1"/>
    <xf numFmtId="170" fontId="3" fillId="3" borderId="1" xfId="2" applyNumberFormat="1"/>
    <xf numFmtId="0" fontId="5" fillId="0" borderId="0" xfId="0" applyFont="1" applyAlignment="1">
      <alignment horizontal="center"/>
    </xf>
    <xf numFmtId="44" fontId="3" fillId="3" borderId="1" xfId="1" applyFont="1" applyFill="1" applyBorder="1"/>
    <xf numFmtId="0" fontId="9" fillId="6" borderId="0" xfId="0" applyFont="1" applyFill="1" applyAlignment="1">
      <alignment horizontal="center"/>
    </xf>
    <xf numFmtId="0" fontId="5" fillId="0" borderId="0" xfId="0" applyFont="1"/>
    <xf numFmtId="0" fontId="9" fillId="6" borderId="7" xfId="0" applyFont="1" applyFill="1" applyBorder="1" applyAlignment="1">
      <alignment horizontal="center"/>
    </xf>
    <xf numFmtId="0" fontId="9" fillId="0" borderId="8" xfId="0" applyFont="1" applyBorder="1"/>
    <xf numFmtId="0" fontId="9" fillId="0" borderId="9" xfId="0" applyFont="1" applyBorder="1"/>
  </cellXfs>
  <cellStyles count="5">
    <cellStyle name="Comma" xfId="3" builtinId="3"/>
    <cellStyle name="Currency" xfId="1" builtinId="4"/>
    <cellStyle name="Input" xfId="2" builtinId="20"/>
    <cellStyle name="Normal" xfId="0" builtinId="0"/>
    <cellStyle name="Output" xfId="4" builtinId="21"/>
  </cellStyles>
  <dxfs count="14">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Disk Speed vs Airspeed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28575" cap="rnd">
              <a:noFill/>
              <a:round/>
            </a:ln>
            <a:effectLst/>
          </c:spPr>
          <c:marker>
            <c:symbol val="circle"/>
            <c:size val="5"/>
            <c:spPr>
              <a:solidFill>
                <a:schemeClr val="accent1"/>
              </a:solidFill>
              <a:ln w="9525">
                <a:solidFill>
                  <a:schemeClr val="accent1"/>
                </a:solidFill>
              </a:ln>
              <a:effectLst/>
            </c:spPr>
          </c:marker>
          <c:xVal>
            <c:numRef>
              <c:f>'GA Aircraft Estimation'!$A$127:$A$220</c:f>
              <c:numCache>
                <c:formatCode>General</c:formatCode>
                <c:ptCount val="94"/>
                <c:pt idx="0">
                  <c:v>30</c:v>
                </c:pt>
                <c:pt idx="1">
                  <c:v>35</c:v>
                </c:pt>
                <c:pt idx="2">
                  <c:v>40</c:v>
                </c:pt>
                <c:pt idx="3">
                  <c:v>45</c:v>
                </c:pt>
                <c:pt idx="4">
                  <c:v>50</c:v>
                </c:pt>
                <c:pt idx="5">
                  <c:v>55</c:v>
                </c:pt>
                <c:pt idx="6">
                  <c:v>60</c:v>
                </c:pt>
                <c:pt idx="7">
                  <c:v>65</c:v>
                </c:pt>
                <c:pt idx="8">
                  <c:v>70</c:v>
                </c:pt>
                <c:pt idx="9">
                  <c:v>75</c:v>
                </c:pt>
                <c:pt idx="10">
                  <c:v>80</c:v>
                </c:pt>
                <c:pt idx="11">
                  <c:v>85</c:v>
                </c:pt>
                <c:pt idx="12">
                  <c:v>90</c:v>
                </c:pt>
                <c:pt idx="13">
                  <c:v>95</c:v>
                </c:pt>
                <c:pt idx="14">
                  <c:v>100</c:v>
                </c:pt>
                <c:pt idx="15">
                  <c:v>105</c:v>
                </c:pt>
                <c:pt idx="16">
                  <c:v>110</c:v>
                </c:pt>
                <c:pt idx="17">
                  <c:v>115</c:v>
                </c:pt>
                <c:pt idx="18">
                  <c:v>120</c:v>
                </c:pt>
                <c:pt idx="19">
                  <c:v>125</c:v>
                </c:pt>
                <c:pt idx="20">
                  <c:v>130</c:v>
                </c:pt>
                <c:pt idx="21">
                  <c:v>135</c:v>
                </c:pt>
                <c:pt idx="22">
                  <c:v>140</c:v>
                </c:pt>
                <c:pt idx="23">
                  <c:v>145</c:v>
                </c:pt>
                <c:pt idx="24">
                  <c:v>150</c:v>
                </c:pt>
                <c:pt idx="25">
                  <c:v>155</c:v>
                </c:pt>
                <c:pt idx="26">
                  <c:v>160</c:v>
                </c:pt>
                <c:pt idx="27">
                  <c:v>165</c:v>
                </c:pt>
                <c:pt idx="28">
                  <c:v>170</c:v>
                </c:pt>
                <c:pt idx="29">
                  <c:v>175</c:v>
                </c:pt>
                <c:pt idx="30">
                  <c:v>180</c:v>
                </c:pt>
                <c:pt idx="31">
                  <c:v>185</c:v>
                </c:pt>
                <c:pt idx="32">
                  <c:v>190</c:v>
                </c:pt>
                <c:pt idx="33">
                  <c:v>195</c:v>
                </c:pt>
                <c:pt idx="34">
                  <c:v>200</c:v>
                </c:pt>
                <c:pt idx="35">
                  <c:v>205</c:v>
                </c:pt>
                <c:pt idx="36">
                  <c:v>210</c:v>
                </c:pt>
                <c:pt idx="37">
                  <c:v>215</c:v>
                </c:pt>
                <c:pt idx="38">
                  <c:v>220</c:v>
                </c:pt>
                <c:pt idx="39">
                  <c:v>225</c:v>
                </c:pt>
                <c:pt idx="40">
                  <c:v>230</c:v>
                </c:pt>
                <c:pt idx="41">
                  <c:v>235</c:v>
                </c:pt>
                <c:pt idx="42">
                  <c:v>240</c:v>
                </c:pt>
                <c:pt idx="43">
                  <c:v>245</c:v>
                </c:pt>
                <c:pt idx="44">
                  <c:v>250</c:v>
                </c:pt>
                <c:pt idx="45">
                  <c:v>255</c:v>
                </c:pt>
                <c:pt idx="46">
                  <c:v>260</c:v>
                </c:pt>
                <c:pt idx="47">
                  <c:v>265</c:v>
                </c:pt>
                <c:pt idx="48">
                  <c:v>270</c:v>
                </c:pt>
                <c:pt idx="49">
                  <c:v>275</c:v>
                </c:pt>
                <c:pt idx="50">
                  <c:v>280</c:v>
                </c:pt>
                <c:pt idx="51">
                  <c:v>285</c:v>
                </c:pt>
                <c:pt idx="52">
                  <c:v>290</c:v>
                </c:pt>
                <c:pt idx="53">
                  <c:v>295</c:v>
                </c:pt>
                <c:pt idx="54">
                  <c:v>300</c:v>
                </c:pt>
                <c:pt idx="55">
                  <c:v>305</c:v>
                </c:pt>
                <c:pt idx="56">
                  <c:v>310</c:v>
                </c:pt>
                <c:pt idx="57">
                  <c:v>315</c:v>
                </c:pt>
                <c:pt idx="58">
                  <c:v>320</c:v>
                </c:pt>
                <c:pt idx="59">
                  <c:v>325</c:v>
                </c:pt>
                <c:pt idx="60">
                  <c:v>330</c:v>
                </c:pt>
                <c:pt idx="61">
                  <c:v>335</c:v>
                </c:pt>
                <c:pt idx="62">
                  <c:v>340</c:v>
                </c:pt>
                <c:pt idx="63">
                  <c:v>345</c:v>
                </c:pt>
                <c:pt idx="64">
                  <c:v>350</c:v>
                </c:pt>
                <c:pt idx="65">
                  <c:v>355</c:v>
                </c:pt>
                <c:pt idx="66">
                  <c:v>360</c:v>
                </c:pt>
                <c:pt idx="67">
                  <c:v>365</c:v>
                </c:pt>
                <c:pt idx="68">
                  <c:v>370</c:v>
                </c:pt>
                <c:pt idx="69">
                  <c:v>375</c:v>
                </c:pt>
                <c:pt idx="70">
                  <c:v>380</c:v>
                </c:pt>
                <c:pt idx="71">
                  <c:v>385</c:v>
                </c:pt>
                <c:pt idx="72">
                  <c:v>390</c:v>
                </c:pt>
                <c:pt idx="73">
                  <c:v>395</c:v>
                </c:pt>
                <c:pt idx="74">
                  <c:v>400</c:v>
                </c:pt>
                <c:pt idx="75">
                  <c:v>405</c:v>
                </c:pt>
                <c:pt idx="76">
                  <c:v>410</c:v>
                </c:pt>
                <c:pt idx="77">
                  <c:v>415</c:v>
                </c:pt>
                <c:pt idx="78">
                  <c:v>420</c:v>
                </c:pt>
                <c:pt idx="79">
                  <c:v>425</c:v>
                </c:pt>
                <c:pt idx="80">
                  <c:v>430</c:v>
                </c:pt>
                <c:pt idx="81">
                  <c:v>435</c:v>
                </c:pt>
                <c:pt idx="82">
                  <c:v>440</c:v>
                </c:pt>
                <c:pt idx="83">
                  <c:v>445</c:v>
                </c:pt>
                <c:pt idx="84">
                  <c:v>450</c:v>
                </c:pt>
                <c:pt idx="85">
                  <c:v>455</c:v>
                </c:pt>
                <c:pt idx="86">
                  <c:v>460</c:v>
                </c:pt>
                <c:pt idx="87">
                  <c:v>465</c:v>
                </c:pt>
                <c:pt idx="88">
                  <c:v>470</c:v>
                </c:pt>
                <c:pt idx="89">
                  <c:v>475</c:v>
                </c:pt>
                <c:pt idx="90">
                  <c:v>480</c:v>
                </c:pt>
                <c:pt idx="91">
                  <c:v>485</c:v>
                </c:pt>
                <c:pt idx="92">
                  <c:v>490</c:v>
                </c:pt>
                <c:pt idx="93">
                  <c:v>495</c:v>
                </c:pt>
              </c:numCache>
            </c:numRef>
          </c:xVal>
          <c:yVal>
            <c:numRef>
              <c:f>'GA Aircraft Estimation'!$I$127:$I$220</c:f>
              <c:numCache>
                <c:formatCode>0.00</c:formatCode>
                <c:ptCount val="94"/>
                <c:pt idx="0">
                  <c:v>400</c:v>
                </c:pt>
                <c:pt idx="1">
                  <c:v>327.17073519810845</c:v>
                </c:pt>
                <c:pt idx="2">
                  <c:v>313.62723627341961</c:v>
                </c:pt>
                <c:pt idx="3">
                  <c:v>270.70235943400377</c:v>
                </c:pt>
                <c:pt idx="4">
                  <c:v>262.02666667549852</c:v>
                </c:pt>
                <c:pt idx="5">
                  <c:v>236.28214454712466</c:v>
                </c:pt>
                <c:pt idx="6">
                  <c:v>229.23244240820452</c:v>
                </c:pt>
                <c:pt idx="7">
                  <c:v>213.97994244728761</c:v>
                </c:pt>
                <c:pt idx="8">
                  <c:v>208.01764405724401</c:v>
                </c:pt>
                <c:pt idx="9">
                  <c:v>199.12325835748527</c:v>
                </c:pt>
                <c:pt idx="10">
                  <c:v>194.46856941417411</c:v>
                </c:pt>
                <c:pt idx="11">
                  <c:v>189.37497778218662</c:v>
                </c:pt>
                <c:pt idx="12">
                  <c:v>186.20521296405065</c:v>
                </c:pt>
                <c:pt idx="13">
                  <c:v>183.46296965389871</c:v>
                </c:pt>
                <c:pt idx="14">
                  <c:v>181.72653615945268</c:v>
                </c:pt>
                <c:pt idx="15">
                  <c:v>180.57645086256048</c:v>
                </c:pt>
                <c:pt idx="16">
                  <c:v>180.08307305151004</c:v>
                </c:pt>
                <c:pt idx="17">
                  <c:v>180.11978945085184</c:v>
                </c:pt>
                <c:pt idx="18">
                  <c:v>180.65469139283948</c:v>
                </c:pt>
                <c:pt idx="19">
                  <c:v>181.62999689495661</c:v>
                </c:pt>
                <c:pt idx="20">
                  <c:v>183.00561110236254</c:v>
                </c:pt>
                <c:pt idx="21">
                  <c:v>184.74220090442515</c:v>
                </c:pt>
                <c:pt idx="22">
                  <c:v>186.80569945449071</c:v>
                </c:pt>
                <c:pt idx="23">
                  <c:v>189.1650946889709</c:v>
                </c:pt>
                <c:pt idx="24">
                  <c:v>191.79245838314085</c:v>
                </c:pt>
                <c:pt idx="25">
                  <c:v>194.66247157786148</c:v>
                </c:pt>
                <c:pt idx="26">
                  <c:v>197.752179934992</c:v>
                </c:pt>
                <c:pt idx="27">
                  <c:v>201.04075780285348</c:v>
                </c:pt>
                <c:pt idx="28">
                  <c:v>204.50931611032559</c:v>
                </c:pt>
                <c:pt idx="29">
                  <c:v>208.14073254820494</c:v>
                </c:pt>
                <c:pt idx="30">
                  <c:v>211.91949983204091</c:v>
                </c:pt>
                <c:pt idx="31">
                  <c:v>215.8315872125211</c:v>
                </c:pt>
                <c:pt idx="32">
                  <c:v>219.86431266779056</c:v>
                </c:pt>
                <c:pt idx="33">
                  <c:v>224.00622419166132</c:v>
                </c:pt>
                <c:pt idx="34">
                  <c:v>228.24698929703089</c:v>
                </c:pt>
                <c:pt idx="35">
                  <c:v>232.57729224388979</c:v>
                </c:pt>
                <c:pt idx="36">
                  <c:v>236.98873870048072</c:v>
                </c:pt>
                <c:pt idx="37">
                  <c:v>241.47376762168443</c:v>
                </c:pt>
                <c:pt idx="38">
                  <c:v>246.02557013317343</c:v>
                </c:pt>
                <c:pt idx="39">
                  <c:v>250.63801517866895</c:v>
                </c:pt>
                <c:pt idx="40">
                  <c:v>255.30558164367653</c:v>
                </c:pt>
                <c:pt idx="41">
                  <c:v>260.02329662604404</c:v>
                </c:pt>
                <c:pt idx="42">
                  <c:v>264.78667948884038</c:v>
                </c:pt>
                <c:pt idx="43">
                  <c:v>269.59169130742367</c:v>
                </c:pt>
                <c:pt idx="44">
                  <c:v>274.43468931056884</c:v>
                </c:pt>
                <c:pt idx="45">
                  <c:v>279.31238591409539</c:v>
                </c:pt>
                <c:pt idx="46">
                  <c:v>284.22181195283321</c:v>
                </c:pt>
                <c:pt idx="47">
                  <c:v>289.1602837310021</c:v>
                </c:pt>
                <c:pt idx="48">
                  <c:v>294.12537353026892</c:v>
                </c:pt>
                <c:pt idx="49">
                  <c:v>299.11488323719226</c:v>
                </c:pt>
                <c:pt idx="50">
                  <c:v>304.12682077606974</c:v>
                </c:pt>
                <c:pt idx="51">
                  <c:v>309.15937905824785</c:v>
                </c:pt>
                <c:pt idx="52">
                  <c:v>314.21091718389312</c:v>
                </c:pt>
                <c:pt idx="53">
                  <c:v>319.27994365643497</c:v>
                </c:pt>
                <c:pt idx="54">
                  <c:v>324.36510139295837</c:v>
                </c:pt>
                <c:pt idx="55">
                  <c:v>329.46515433546858</c:v>
                </c:pt>
                <c:pt idx="56">
                  <c:v>334.57897548802919</c:v>
                </c:pt>
                <c:pt idx="57">
                  <c:v>339.70553622321876</c:v>
                </c:pt>
                <c:pt idx="58">
                  <c:v>344.84389671816905</c:v>
                </c:pt>
                <c:pt idx="59">
                  <c:v>349.99319739568335</c:v>
                </c:pt>
                <c:pt idx="60">
                  <c:v>355.15265125966795</c:v>
                </c:pt>
                <c:pt idx="61">
                  <c:v>360.32153702643666</c:v>
                </c:pt>
                <c:pt idx="62">
                  <c:v>365.49919296447626</c:v>
                </c:pt>
                <c:pt idx="63">
                  <c:v>370.68501136509838</c:v>
                </c:pt>
                <c:pt idx="64">
                  <c:v>375.87843357515862</c:v>
                </c:pt>
                <c:pt idx="65">
                  <c:v>381.07894553080223</c:v>
                </c:pt>
                <c:pt idx="66">
                  <c:v>386.28607373809695</c:v>
                </c:pt>
                <c:pt idx="67">
                  <c:v>391.49938165253013</c:v>
                </c:pt>
                <c:pt idx="68">
                  <c:v>396.71846641476117</c:v>
                </c:pt>
                <c:pt idx="69">
                  <c:v>401.94295590481306</c:v>
                </c:pt>
                <c:pt idx="70">
                  <c:v>407.17250608112636</c:v>
                </c:pt>
                <c:pt idx="71">
                  <c:v>412.40679857464801</c:v>
                </c:pt>
                <c:pt idx="72">
                  <c:v>417.64553851144211</c:v>
                </c:pt>
                <c:pt idx="73">
                  <c:v>422.88845254024488</c:v>
                </c:pt>
                <c:pt idx="74">
                  <c:v>428.13528704397748</c:v>
                </c:pt>
                <c:pt idx="75">
                  <c:v>433.38580651652825</c:v>
                </c:pt>
                <c:pt idx="76">
                  <c:v>438.63979208814692</c:v>
                </c:pt>
                <c:pt idx="77">
                  <c:v>443.89704018459395</c:v>
                </c:pt>
                <c:pt idx="78">
                  <c:v>449.15736130678226</c:v>
                </c:pt>
                <c:pt idx="79">
                  <c:v>454.42057891906302</c:v>
                </c:pt>
                <c:pt idx="80">
                  <c:v>459.68652843556112</c:v>
                </c:pt>
                <c:pt idx="81">
                  <c:v>464.95505629508017</c:v>
                </c:pt>
                <c:pt idx="82">
                  <c:v>470.22601911608569</c:v>
                </c:pt>
                <c:pt idx="83">
                  <c:v>475.49928292415416</c:v>
                </c:pt>
                <c:pt idx="84">
                  <c:v>480.7747224450593</c:v>
                </c:pt>
                <c:pt idx="85">
                  <c:v>486.05222045736258</c:v>
                </c:pt>
                <c:pt idx="86">
                  <c:v>491.33166719899555</c:v>
                </c:pt>
                <c:pt idx="87">
                  <c:v>496.61295982287641</c:v>
                </c:pt>
                <c:pt idx="88">
                  <c:v>501.8960018970962</c:v>
                </c:pt>
                <c:pt idx="89">
                  <c:v>507.18070294565155</c:v>
                </c:pt>
                <c:pt idx="90">
                  <c:v>512.46697802609594</c:v>
                </c:pt>
                <c:pt idx="91">
                  <c:v>517.75474734083457</c:v>
                </c:pt>
                <c:pt idx="92">
                  <c:v>523.04393587910226</c:v>
                </c:pt>
                <c:pt idx="93">
                  <c:v>528.33447308695099</c:v>
                </c:pt>
              </c:numCache>
            </c:numRef>
          </c:yVal>
          <c:smooth val="0"/>
          <c:extLst>
            <c:ext xmlns:c16="http://schemas.microsoft.com/office/drawing/2014/chart" uri="{C3380CC4-5D6E-409C-BE32-E72D297353CC}">
              <c16:uniqueId val="{00000000-B435-40DB-BE4B-A197280F28E0}"/>
            </c:ext>
          </c:extLst>
        </c:ser>
        <c:dLbls>
          <c:showLegendKey val="0"/>
          <c:showVal val="0"/>
          <c:showCatName val="0"/>
          <c:showSerName val="0"/>
          <c:showPercent val="0"/>
          <c:showBubbleSize val="0"/>
        </c:dLbls>
        <c:axId val="397045215"/>
        <c:axId val="420479263"/>
      </c:scatterChart>
      <c:valAx>
        <c:axId val="397045215"/>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0479263"/>
        <c:crosses val="autoZero"/>
        <c:crossBetween val="midCat"/>
      </c:valAx>
      <c:valAx>
        <c:axId val="420479263"/>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7045215"/>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L/D vs speed (kts)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28575" cap="rnd">
              <a:noFill/>
              <a:round/>
            </a:ln>
            <a:effectLst/>
          </c:spPr>
          <c:marker>
            <c:symbol val="circle"/>
            <c:size val="5"/>
            <c:spPr>
              <a:solidFill>
                <a:schemeClr val="accent1"/>
              </a:solidFill>
              <a:ln w="9525">
                <a:solidFill>
                  <a:schemeClr val="accent1"/>
                </a:solidFill>
              </a:ln>
              <a:effectLst/>
            </c:spPr>
          </c:marker>
          <c:xVal>
            <c:numRef>
              <c:f>'GA Aircraft Estimation'!$B$127:$B$188</c:f>
              <c:numCache>
                <c:formatCode>0.00</c:formatCode>
                <c:ptCount val="62"/>
                <c:pt idx="0">
                  <c:v>17.786561264822137</c:v>
                </c:pt>
                <c:pt idx="1">
                  <c:v>20.750988142292496</c:v>
                </c:pt>
                <c:pt idx="2">
                  <c:v>23.715415019762847</c:v>
                </c:pt>
                <c:pt idx="3">
                  <c:v>26.679841897233203</c:v>
                </c:pt>
                <c:pt idx="4">
                  <c:v>29.644268774703562</c:v>
                </c:pt>
                <c:pt idx="5">
                  <c:v>32.608695652173914</c:v>
                </c:pt>
                <c:pt idx="6">
                  <c:v>35.573122529644273</c:v>
                </c:pt>
                <c:pt idx="7">
                  <c:v>38.537549407114632</c:v>
                </c:pt>
                <c:pt idx="8">
                  <c:v>41.501976284584991</c:v>
                </c:pt>
                <c:pt idx="9">
                  <c:v>44.466403162055343</c:v>
                </c:pt>
                <c:pt idx="10">
                  <c:v>47.430830039525695</c:v>
                </c:pt>
                <c:pt idx="11">
                  <c:v>50.395256916996047</c:v>
                </c:pt>
                <c:pt idx="12">
                  <c:v>53.359683794466406</c:v>
                </c:pt>
                <c:pt idx="13">
                  <c:v>56.324110671936772</c:v>
                </c:pt>
                <c:pt idx="14">
                  <c:v>59.288537549407124</c:v>
                </c:pt>
                <c:pt idx="15">
                  <c:v>62.252964426877476</c:v>
                </c:pt>
                <c:pt idx="16">
                  <c:v>65.217391304347828</c:v>
                </c:pt>
                <c:pt idx="17">
                  <c:v>68.181818181818187</c:v>
                </c:pt>
                <c:pt idx="18">
                  <c:v>71.146245059288546</c:v>
                </c:pt>
                <c:pt idx="19">
                  <c:v>74.110671936758891</c:v>
                </c:pt>
                <c:pt idx="20">
                  <c:v>77.075098814229264</c:v>
                </c:pt>
                <c:pt idx="21">
                  <c:v>80.039525691699609</c:v>
                </c:pt>
                <c:pt idx="22">
                  <c:v>83.003952569169982</c:v>
                </c:pt>
                <c:pt idx="23">
                  <c:v>85.968379446640313</c:v>
                </c:pt>
                <c:pt idx="24">
                  <c:v>88.932806324110686</c:v>
                </c:pt>
                <c:pt idx="25">
                  <c:v>91.897233201581045</c:v>
                </c:pt>
                <c:pt idx="26">
                  <c:v>94.86166007905139</c:v>
                </c:pt>
                <c:pt idx="27">
                  <c:v>97.826086956521749</c:v>
                </c:pt>
                <c:pt idx="28">
                  <c:v>100.79051383399209</c:v>
                </c:pt>
                <c:pt idx="29">
                  <c:v>103.75494071146245</c:v>
                </c:pt>
                <c:pt idx="30">
                  <c:v>106.71936758893281</c:v>
                </c:pt>
                <c:pt idx="31">
                  <c:v>109.68379446640316</c:v>
                </c:pt>
                <c:pt idx="32">
                  <c:v>112.64822134387354</c:v>
                </c:pt>
                <c:pt idx="33">
                  <c:v>115.61264822134387</c:v>
                </c:pt>
                <c:pt idx="34">
                  <c:v>118.57707509881425</c:v>
                </c:pt>
                <c:pt idx="35">
                  <c:v>121.54150197628461</c:v>
                </c:pt>
                <c:pt idx="36">
                  <c:v>124.50592885375495</c:v>
                </c:pt>
                <c:pt idx="37">
                  <c:v>127.47035573122528</c:v>
                </c:pt>
                <c:pt idx="38">
                  <c:v>130.43478260869566</c:v>
                </c:pt>
                <c:pt idx="39">
                  <c:v>133.39920948616603</c:v>
                </c:pt>
                <c:pt idx="40">
                  <c:v>136.36363636363637</c:v>
                </c:pt>
                <c:pt idx="41">
                  <c:v>139.32806324110672</c:v>
                </c:pt>
                <c:pt idx="42">
                  <c:v>142.29249011857709</c:v>
                </c:pt>
                <c:pt idx="43">
                  <c:v>145.25691699604747</c:v>
                </c:pt>
                <c:pt idx="44">
                  <c:v>148.22134387351778</c:v>
                </c:pt>
                <c:pt idx="45">
                  <c:v>151.18577075098813</c:v>
                </c:pt>
                <c:pt idx="46">
                  <c:v>154.15019762845853</c:v>
                </c:pt>
                <c:pt idx="47">
                  <c:v>157.11462450592887</c:v>
                </c:pt>
                <c:pt idx="48">
                  <c:v>160.07905138339922</c:v>
                </c:pt>
                <c:pt idx="49">
                  <c:v>163.04347826086959</c:v>
                </c:pt>
                <c:pt idx="50">
                  <c:v>166.00790513833996</c:v>
                </c:pt>
                <c:pt idx="51">
                  <c:v>168.97233201581028</c:v>
                </c:pt>
                <c:pt idx="52">
                  <c:v>171.93675889328063</c:v>
                </c:pt>
                <c:pt idx="53">
                  <c:v>174.901185770751</c:v>
                </c:pt>
                <c:pt idx="54">
                  <c:v>177.86561264822137</c:v>
                </c:pt>
                <c:pt idx="55">
                  <c:v>180.83003952569169</c:v>
                </c:pt>
                <c:pt idx="56">
                  <c:v>183.79446640316209</c:v>
                </c:pt>
                <c:pt idx="57">
                  <c:v>186.75889328063244</c:v>
                </c:pt>
                <c:pt idx="58">
                  <c:v>189.72332015810278</c:v>
                </c:pt>
                <c:pt idx="59">
                  <c:v>192.68774703557315</c:v>
                </c:pt>
                <c:pt idx="60">
                  <c:v>195.6521739130435</c:v>
                </c:pt>
                <c:pt idx="61">
                  <c:v>198.61660079051384</c:v>
                </c:pt>
              </c:numCache>
            </c:numRef>
          </c:xVal>
          <c:yVal>
            <c:numRef>
              <c:f>'GA Aircraft Estimation'!$F$127:$F$188</c:f>
              <c:numCache>
                <c:formatCode>0.0</c:formatCode>
                <c:ptCount val="62"/>
                <c:pt idx="0">
                  <c:v>0.89628436275444046</c:v>
                </c:pt>
                <c:pt idx="1">
                  <c:v>1.2195378631828537</c:v>
                </c:pt>
                <c:pt idx="2">
                  <c:v>1.5920555582209386</c:v>
                </c:pt>
                <c:pt idx="3">
                  <c:v>2.0134559056380872</c:v>
                </c:pt>
                <c:pt idx="4">
                  <c:v>2.4831872309018141</c:v>
                </c:pt>
                <c:pt idx="5">
                  <c:v>3.0004850753278136</c:v>
                </c:pt>
                <c:pt idx="6">
                  <c:v>3.5643263964403853</c:v>
                </c:pt>
                <c:pt idx="7">
                  <c:v>4.1733817186034727</c:v>
                </c:pt>
                <c:pt idx="8">
                  <c:v>4.8259666571517368</c:v>
                </c:pt>
                <c:pt idx="9">
                  <c:v>5.519994589833054</c:v>
                </c:pt>
                <c:pt idx="10">
                  <c:v>6.2529326037650073</c:v>
                </c:pt>
                <c:pt idx="11">
                  <c:v>7.0217631742992639</c:v>
                </c:pt>
                <c:pt idx="12">
                  <c:v>7.8229542960653244</c:v>
                </c:pt>
                <c:pt idx="13">
                  <c:v>8.6524409414458265</c:v>
                </c:pt>
                <c:pt idx="14">
                  <c:v>9.5056207200783263</c:v>
                </c:pt>
                <c:pt idx="15">
                  <c:v>10.377366408940288</c:v>
                </c:pt>
                <c:pt idx="16">
                  <c:v>11.262057579252939</c:v>
                </c:pt>
                <c:pt idx="17">
                  <c:v>12.153632843713842</c:v>
                </c:pt>
                <c:pt idx="18">
                  <c:v>13.045663290038682</c:v>
                </c:pt>
                <c:pt idx="19">
                  <c:v>13.931446490194134</c:v>
                </c:pt>
                <c:pt idx="20">
                  <c:v>14.804119149008333</c:v>
                </c:pt>
                <c:pt idx="21">
                  <c:v>15.656785083431869</c:v>
                </c:pt>
                <c:pt idx="22">
                  <c:v>16.482653931577385</c:v>
                </c:pt>
                <c:pt idx="23">
                  <c:v>17.275184916679741</c:v>
                </c:pt>
                <c:pt idx="24">
                  <c:v>18.028229265898137</c:v>
                </c:pt>
                <c:pt idx="25">
                  <c:v>18.736164610856761</c:v>
                </c:pt>
                <c:pt idx="26">
                  <c:v>19.394014934325465</c:v>
                </c:pt>
                <c:pt idx="27">
                  <c:v>19.997550376573692</c:v>
                </c:pt>
                <c:pt idx="28">
                  <c:v>20.543362416118097</c:v>
                </c:pt>
                <c:pt idx="29">
                  <c:v>21.028911479121746</c:v>
                </c:pt>
                <c:pt idx="30">
                  <c:v>21.452545757338019</c:v>
                </c:pt>
                <c:pt idx="31">
                  <c:v>21.813491757161611</c:v>
                </c:pt>
                <c:pt idx="32">
                  <c:v>22.111818699857682</c:v>
                </c:pt>
                <c:pt idx="33">
                  <c:v>22.348380211229028</c:v>
                </c:pt>
                <c:pt idx="34">
                  <c:v>22.524737686754449</c:v>
                </c:pt>
                <c:pt idx="35">
                  <c:v>22.643070254427144</c:v>
                </c:pt>
                <c:pt idx="36">
                  <c:v>22.706076389464677</c:v>
                </c:pt>
                <c:pt idx="37">
                  <c:v>22.716872010317072</c:v>
                </c:pt>
                <c:pt idx="38">
                  <c:v>22.678889379242939</c:v>
                </c:pt>
                <c:pt idx="39">
                  <c:v>22.595780432185936</c:v>
                </c:pt>
                <c:pt idx="40">
                  <c:v>22.471327361651088</c:v>
                </c:pt>
                <c:pt idx="41">
                  <c:v>22.309362453371229</c:v>
                </c:pt>
                <c:pt idx="42">
                  <c:v>22.113698397597805</c:v>
                </c:pt>
                <c:pt idx="43">
                  <c:v>21.888069604955628</c:v>
                </c:pt>
                <c:pt idx="44">
                  <c:v>21.636084482443735</c:v>
                </c:pt>
                <c:pt idx="45">
                  <c:v>21.361188178409218</c:v>
                </c:pt>
                <c:pt idx="46">
                  <c:v>21.066634984256048</c:v>
                </c:pt>
                <c:pt idx="47">
                  <c:v>20.755469374216311</c:v>
                </c:pt>
                <c:pt idx="48">
                  <c:v>20.430514556129591</c:v>
                </c:pt>
                <c:pt idx="49">
                  <c:v>20.09436737681586</c:v>
                </c:pt>
                <c:pt idx="50">
                  <c:v>19.749398456132891</c:v>
                </c:pt>
                <c:pt idx="51">
                  <c:v>19.397756496491471</c:v>
                </c:pt>
                <c:pt idx="52">
                  <c:v>19.041375814168624</c:v>
                </c:pt>
                <c:pt idx="53">
                  <c:v>18.681986252718808</c:v>
                </c:pt>
                <c:pt idx="54">
                  <c:v>18.321124757476117</c:v>
                </c:pt>
                <c:pt idx="55">
                  <c:v>17.960148006514846</c:v>
                </c:pt>
                <c:pt idx="56">
                  <c:v>17.600245602693786</c:v>
                </c:pt>
                <c:pt idx="57">
                  <c:v>17.24245343059712</c:v>
                </c:pt>
                <c:pt idx="58">
                  <c:v>16.887666869780766</c:v>
                </c:pt>
                <c:pt idx="59">
                  <c:v>16.536653631279989</c:v>
                </c:pt>
                <c:pt idx="60">
                  <c:v>16.19006604811651</c:v>
                </c:pt>
                <c:pt idx="61">
                  <c:v>15.848452703330905</c:v>
                </c:pt>
              </c:numCache>
            </c:numRef>
          </c:yVal>
          <c:smooth val="0"/>
          <c:extLst>
            <c:ext xmlns:c16="http://schemas.microsoft.com/office/drawing/2014/chart" uri="{C3380CC4-5D6E-409C-BE32-E72D297353CC}">
              <c16:uniqueId val="{00000000-EFDC-42A5-ACA8-31CB05AB643A}"/>
            </c:ext>
          </c:extLst>
        </c:ser>
        <c:dLbls>
          <c:showLegendKey val="0"/>
          <c:showVal val="0"/>
          <c:showCatName val="0"/>
          <c:showSerName val="0"/>
          <c:showPercent val="0"/>
          <c:showBubbleSize val="0"/>
        </c:dLbls>
        <c:axId val="878823679"/>
        <c:axId val="878832799"/>
      </c:scatterChart>
      <c:valAx>
        <c:axId val="878823679"/>
        <c:scaling>
          <c:orientation val="minMax"/>
        </c:scaling>
        <c:delete val="0"/>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8832799"/>
        <c:crosses val="autoZero"/>
        <c:crossBetween val="midCat"/>
      </c:valAx>
      <c:valAx>
        <c:axId val="878832799"/>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8823679"/>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L/D</a:t>
            </a:r>
            <a:r>
              <a:rPr lang="en-US" baseline="0"/>
              <a:t> x Speed vs speed (kts)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28575" cap="rnd">
              <a:noFill/>
              <a:round/>
            </a:ln>
            <a:effectLst/>
          </c:spPr>
          <c:marker>
            <c:symbol val="circle"/>
            <c:size val="5"/>
            <c:spPr>
              <a:solidFill>
                <a:schemeClr val="accent1"/>
              </a:solidFill>
              <a:ln w="9525">
                <a:solidFill>
                  <a:schemeClr val="accent1"/>
                </a:solidFill>
              </a:ln>
              <a:effectLst/>
            </c:spPr>
          </c:marker>
          <c:xVal>
            <c:numRef>
              <c:f>'GA Aircraft Estimation'!$B$127:$B$188</c:f>
              <c:numCache>
                <c:formatCode>0.00</c:formatCode>
                <c:ptCount val="62"/>
                <c:pt idx="0">
                  <c:v>17.786561264822137</c:v>
                </c:pt>
                <c:pt idx="1">
                  <c:v>20.750988142292496</c:v>
                </c:pt>
                <c:pt idx="2">
                  <c:v>23.715415019762847</c:v>
                </c:pt>
                <c:pt idx="3">
                  <c:v>26.679841897233203</c:v>
                </c:pt>
                <c:pt idx="4">
                  <c:v>29.644268774703562</c:v>
                </c:pt>
                <c:pt idx="5">
                  <c:v>32.608695652173914</c:v>
                </c:pt>
                <c:pt idx="6">
                  <c:v>35.573122529644273</c:v>
                </c:pt>
                <c:pt idx="7">
                  <c:v>38.537549407114632</c:v>
                </c:pt>
                <c:pt idx="8">
                  <c:v>41.501976284584991</c:v>
                </c:pt>
                <c:pt idx="9">
                  <c:v>44.466403162055343</c:v>
                </c:pt>
                <c:pt idx="10">
                  <c:v>47.430830039525695</c:v>
                </c:pt>
                <c:pt idx="11">
                  <c:v>50.395256916996047</c:v>
                </c:pt>
                <c:pt idx="12">
                  <c:v>53.359683794466406</c:v>
                </c:pt>
                <c:pt idx="13">
                  <c:v>56.324110671936772</c:v>
                </c:pt>
                <c:pt idx="14">
                  <c:v>59.288537549407124</c:v>
                </c:pt>
                <c:pt idx="15">
                  <c:v>62.252964426877476</c:v>
                </c:pt>
                <c:pt idx="16">
                  <c:v>65.217391304347828</c:v>
                </c:pt>
                <c:pt idx="17">
                  <c:v>68.181818181818187</c:v>
                </c:pt>
                <c:pt idx="18">
                  <c:v>71.146245059288546</c:v>
                </c:pt>
                <c:pt idx="19">
                  <c:v>74.110671936758891</c:v>
                </c:pt>
                <c:pt idx="20">
                  <c:v>77.075098814229264</c:v>
                </c:pt>
                <c:pt idx="21">
                  <c:v>80.039525691699609</c:v>
                </c:pt>
                <c:pt idx="22">
                  <c:v>83.003952569169982</c:v>
                </c:pt>
                <c:pt idx="23">
                  <c:v>85.968379446640313</c:v>
                </c:pt>
                <c:pt idx="24">
                  <c:v>88.932806324110686</c:v>
                </c:pt>
                <c:pt idx="25">
                  <c:v>91.897233201581045</c:v>
                </c:pt>
                <c:pt idx="26">
                  <c:v>94.86166007905139</c:v>
                </c:pt>
                <c:pt idx="27">
                  <c:v>97.826086956521749</c:v>
                </c:pt>
                <c:pt idx="28">
                  <c:v>100.79051383399209</c:v>
                </c:pt>
                <c:pt idx="29">
                  <c:v>103.75494071146245</c:v>
                </c:pt>
                <c:pt idx="30">
                  <c:v>106.71936758893281</c:v>
                </c:pt>
                <c:pt idx="31">
                  <c:v>109.68379446640316</c:v>
                </c:pt>
                <c:pt idx="32">
                  <c:v>112.64822134387354</c:v>
                </c:pt>
                <c:pt idx="33">
                  <c:v>115.61264822134387</c:v>
                </c:pt>
                <c:pt idx="34">
                  <c:v>118.57707509881425</c:v>
                </c:pt>
                <c:pt idx="35">
                  <c:v>121.54150197628461</c:v>
                </c:pt>
                <c:pt idx="36">
                  <c:v>124.50592885375495</c:v>
                </c:pt>
                <c:pt idx="37">
                  <c:v>127.47035573122528</c:v>
                </c:pt>
                <c:pt idx="38">
                  <c:v>130.43478260869566</c:v>
                </c:pt>
                <c:pt idx="39">
                  <c:v>133.39920948616603</c:v>
                </c:pt>
                <c:pt idx="40">
                  <c:v>136.36363636363637</c:v>
                </c:pt>
                <c:pt idx="41">
                  <c:v>139.32806324110672</c:v>
                </c:pt>
                <c:pt idx="42">
                  <c:v>142.29249011857709</c:v>
                </c:pt>
                <c:pt idx="43">
                  <c:v>145.25691699604747</c:v>
                </c:pt>
                <c:pt idx="44">
                  <c:v>148.22134387351778</c:v>
                </c:pt>
                <c:pt idx="45">
                  <c:v>151.18577075098813</c:v>
                </c:pt>
                <c:pt idx="46">
                  <c:v>154.15019762845853</c:v>
                </c:pt>
                <c:pt idx="47">
                  <c:v>157.11462450592887</c:v>
                </c:pt>
                <c:pt idx="48">
                  <c:v>160.07905138339922</c:v>
                </c:pt>
                <c:pt idx="49">
                  <c:v>163.04347826086959</c:v>
                </c:pt>
                <c:pt idx="50">
                  <c:v>166.00790513833996</c:v>
                </c:pt>
                <c:pt idx="51">
                  <c:v>168.97233201581028</c:v>
                </c:pt>
                <c:pt idx="52">
                  <c:v>171.93675889328063</c:v>
                </c:pt>
                <c:pt idx="53">
                  <c:v>174.901185770751</c:v>
                </c:pt>
                <c:pt idx="54">
                  <c:v>177.86561264822137</c:v>
                </c:pt>
                <c:pt idx="55">
                  <c:v>180.83003952569169</c:v>
                </c:pt>
                <c:pt idx="56">
                  <c:v>183.79446640316209</c:v>
                </c:pt>
                <c:pt idx="57">
                  <c:v>186.75889328063244</c:v>
                </c:pt>
                <c:pt idx="58">
                  <c:v>189.72332015810278</c:v>
                </c:pt>
                <c:pt idx="59">
                  <c:v>192.68774703557315</c:v>
                </c:pt>
                <c:pt idx="60">
                  <c:v>195.6521739130435</c:v>
                </c:pt>
                <c:pt idx="61">
                  <c:v>198.61660079051384</c:v>
                </c:pt>
              </c:numCache>
            </c:numRef>
          </c:xVal>
          <c:yVal>
            <c:numRef>
              <c:f>'GA Aircraft Estimation'!$G$127:$G$188</c:f>
              <c:numCache>
                <c:formatCode>0.0</c:formatCode>
                <c:ptCount val="62"/>
                <c:pt idx="0">
                  <c:v>26.888530882633212</c:v>
                </c:pt>
                <c:pt idx="1">
                  <c:v>42.683825211399878</c:v>
                </c:pt>
                <c:pt idx="2">
                  <c:v>63.68222232883754</c:v>
                </c:pt>
                <c:pt idx="3">
                  <c:v>90.605515753713917</c:v>
                </c:pt>
                <c:pt idx="4">
                  <c:v>124.1593615450907</c:v>
                </c:pt>
                <c:pt idx="5">
                  <c:v>165.02667914302975</c:v>
                </c:pt>
                <c:pt idx="6">
                  <c:v>213.85958378642312</c:v>
                </c:pt>
                <c:pt idx="7">
                  <c:v>271.26981170922573</c:v>
                </c:pt>
                <c:pt idx="8">
                  <c:v>337.81766600062156</c:v>
                </c:pt>
                <c:pt idx="9">
                  <c:v>413.99959423747907</c:v>
                </c:pt>
                <c:pt idx="10">
                  <c:v>500.23460830120058</c:v>
                </c:pt>
                <c:pt idx="11">
                  <c:v>596.84986981543739</c:v>
                </c:pt>
                <c:pt idx="12">
                  <c:v>704.06588664587923</c:v>
                </c:pt>
                <c:pt idx="13">
                  <c:v>821.98188943735352</c:v>
                </c:pt>
                <c:pt idx="14">
                  <c:v>950.56207200783263</c:v>
                </c:pt>
                <c:pt idx="15">
                  <c:v>1089.6234729387302</c:v>
                </c:pt>
                <c:pt idx="16">
                  <c:v>1238.8263337178232</c:v>
                </c:pt>
                <c:pt idx="17">
                  <c:v>1397.6677770270919</c:v>
                </c:pt>
                <c:pt idx="18">
                  <c:v>1565.4795948046419</c:v>
                </c:pt>
                <c:pt idx="19">
                  <c:v>1741.4308112742667</c:v>
                </c:pt>
                <c:pt idx="20">
                  <c:v>1924.5354893710833</c:v>
                </c:pt>
                <c:pt idx="21">
                  <c:v>2113.6659862633023</c:v>
                </c:pt>
                <c:pt idx="22">
                  <c:v>2307.5715504208338</c:v>
                </c:pt>
                <c:pt idx="23">
                  <c:v>2504.9018129185624</c:v>
                </c:pt>
                <c:pt idx="24">
                  <c:v>2704.2343898847207</c:v>
                </c:pt>
                <c:pt idx="25">
                  <c:v>2904.105514682798</c:v>
                </c:pt>
                <c:pt idx="26">
                  <c:v>3103.0423894920746</c:v>
                </c:pt>
                <c:pt idx="27">
                  <c:v>3299.5958121346594</c:v>
                </c:pt>
                <c:pt idx="28">
                  <c:v>3492.3716107400764</c:v>
                </c:pt>
                <c:pt idx="29">
                  <c:v>3680.0595088463056</c:v>
                </c:pt>
                <c:pt idx="30">
                  <c:v>3861.4582363208433</c:v>
                </c:pt>
                <c:pt idx="31">
                  <c:v>4035.4959750748981</c:v>
                </c:pt>
                <c:pt idx="32">
                  <c:v>4201.2455529729596</c:v>
                </c:pt>
                <c:pt idx="33">
                  <c:v>4357.9341411896603</c:v>
                </c:pt>
                <c:pt idx="34">
                  <c:v>4504.9475373508894</c:v>
                </c:pt>
                <c:pt idx="35">
                  <c:v>4641.8294021575648</c:v>
                </c:pt>
                <c:pt idx="36">
                  <c:v>4768.2760417875825</c:v>
                </c:pt>
                <c:pt idx="37">
                  <c:v>4884.1274822181704</c:v>
                </c:pt>
                <c:pt idx="38">
                  <c:v>4989.3556634334464</c:v>
                </c:pt>
                <c:pt idx="39">
                  <c:v>5084.0505972418359</c:v>
                </c:pt>
                <c:pt idx="40">
                  <c:v>5168.4052931797505</c:v>
                </c:pt>
                <c:pt idx="41">
                  <c:v>5242.7001765422383</c:v>
                </c:pt>
                <c:pt idx="42">
                  <c:v>5307.2876154234727</c:v>
                </c:pt>
                <c:pt idx="43">
                  <c:v>5362.5770532141287</c:v>
                </c:pt>
                <c:pt idx="44">
                  <c:v>5409.0211206109334</c:v>
                </c:pt>
                <c:pt idx="45">
                  <c:v>5447.1029854943508</c:v>
                </c:pt>
                <c:pt idx="46">
                  <c:v>5477.3250959065726</c:v>
                </c:pt>
                <c:pt idx="47">
                  <c:v>5500.199384167322</c:v>
                </c:pt>
                <c:pt idx="48">
                  <c:v>5516.2389301549892</c:v>
                </c:pt>
                <c:pt idx="49">
                  <c:v>5525.9510286243612</c:v>
                </c:pt>
                <c:pt idx="50">
                  <c:v>5529.8315677172095</c:v>
                </c:pt>
                <c:pt idx="51">
                  <c:v>5528.3606015000696</c:v>
                </c:pt>
                <c:pt idx="52">
                  <c:v>5521.9989861089007</c:v>
                </c:pt>
                <c:pt idx="53">
                  <c:v>5511.1859445520486</c:v>
                </c:pt>
                <c:pt idx="54">
                  <c:v>5496.3374272428346</c:v>
                </c:pt>
                <c:pt idx="55">
                  <c:v>5477.845141987028</c:v>
                </c:pt>
                <c:pt idx="56">
                  <c:v>5456.0761368350732</c:v>
                </c:pt>
                <c:pt idx="57">
                  <c:v>5431.3728306380926</c:v>
                </c:pt>
                <c:pt idx="58">
                  <c:v>5404.0533983298446</c:v>
                </c:pt>
                <c:pt idx="59">
                  <c:v>5374.4124301659967</c:v>
                </c:pt>
                <c:pt idx="60">
                  <c:v>5342.7217958784486</c:v>
                </c:pt>
                <c:pt idx="61">
                  <c:v>5309.231655615853</c:v>
                </c:pt>
              </c:numCache>
            </c:numRef>
          </c:yVal>
          <c:smooth val="0"/>
          <c:extLst>
            <c:ext xmlns:c16="http://schemas.microsoft.com/office/drawing/2014/chart" uri="{C3380CC4-5D6E-409C-BE32-E72D297353CC}">
              <c16:uniqueId val="{00000000-F6DB-46A2-BF9E-3D9D1DF89133}"/>
            </c:ext>
          </c:extLst>
        </c:ser>
        <c:dLbls>
          <c:showLegendKey val="0"/>
          <c:showVal val="0"/>
          <c:showCatName val="0"/>
          <c:showSerName val="0"/>
          <c:showPercent val="0"/>
          <c:showBubbleSize val="0"/>
        </c:dLbls>
        <c:axId val="295116991"/>
        <c:axId val="295103551"/>
      </c:scatterChart>
      <c:valAx>
        <c:axId val="295116991"/>
        <c:scaling>
          <c:orientation val="minMax"/>
        </c:scaling>
        <c:delete val="0"/>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95103551"/>
        <c:crosses val="autoZero"/>
        <c:crossBetween val="midCat"/>
      </c:valAx>
      <c:valAx>
        <c:axId val="295103551"/>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95116991"/>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Drag Force vs Airspeed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28575" cap="rnd">
              <a:noFill/>
              <a:round/>
            </a:ln>
            <a:effectLst/>
          </c:spPr>
          <c:marker>
            <c:symbol val="circle"/>
            <c:size val="5"/>
            <c:spPr>
              <a:solidFill>
                <a:schemeClr val="accent1"/>
              </a:solidFill>
              <a:ln w="9525">
                <a:solidFill>
                  <a:schemeClr val="accent1"/>
                </a:solidFill>
              </a:ln>
              <a:effectLst/>
            </c:spPr>
          </c:marker>
          <c:xVal>
            <c:numRef>
              <c:f>'GA Aircraft Estimation'!$B$141:$B$220</c:f>
              <c:numCache>
                <c:formatCode>0.00</c:formatCode>
                <c:ptCount val="80"/>
                <c:pt idx="0">
                  <c:v>59.288537549407124</c:v>
                </c:pt>
                <c:pt idx="1">
                  <c:v>62.252964426877476</c:v>
                </c:pt>
                <c:pt idx="2">
                  <c:v>65.217391304347828</c:v>
                </c:pt>
                <c:pt idx="3">
                  <c:v>68.181818181818187</c:v>
                </c:pt>
                <c:pt idx="4">
                  <c:v>71.146245059288546</c:v>
                </c:pt>
                <c:pt idx="5">
                  <c:v>74.110671936758891</c:v>
                </c:pt>
                <c:pt idx="6">
                  <c:v>77.075098814229264</c:v>
                </c:pt>
                <c:pt idx="7">
                  <c:v>80.039525691699609</c:v>
                </c:pt>
                <c:pt idx="8">
                  <c:v>83.003952569169982</c:v>
                </c:pt>
                <c:pt idx="9">
                  <c:v>85.968379446640313</c:v>
                </c:pt>
                <c:pt idx="10">
                  <c:v>88.932806324110686</c:v>
                </c:pt>
                <c:pt idx="11">
                  <c:v>91.897233201581045</c:v>
                </c:pt>
                <c:pt idx="12">
                  <c:v>94.86166007905139</c:v>
                </c:pt>
                <c:pt idx="13">
                  <c:v>97.826086956521749</c:v>
                </c:pt>
                <c:pt idx="14">
                  <c:v>100.79051383399209</c:v>
                </c:pt>
                <c:pt idx="15">
                  <c:v>103.75494071146245</c:v>
                </c:pt>
                <c:pt idx="16">
                  <c:v>106.71936758893281</c:v>
                </c:pt>
                <c:pt idx="17">
                  <c:v>109.68379446640316</c:v>
                </c:pt>
                <c:pt idx="18">
                  <c:v>112.64822134387354</c:v>
                </c:pt>
                <c:pt idx="19">
                  <c:v>115.61264822134387</c:v>
                </c:pt>
                <c:pt idx="20">
                  <c:v>118.57707509881425</c:v>
                </c:pt>
                <c:pt idx="21">
                  <c:v>121.54150197628461</c:v>
                </c:pt>
                <c:pt idx="22">
                  <c:v>124.50592885375495</c:v>
                </c:pt>
                <c:pt idx="23">
                  <c:v>127.47035573122528</c:v>
                </c:pt>
                <c:pt idx="24">
                  <c:v>130.43478260869566</c:v>
                </c:pt>
                <c:pt idx="25">
                  <c:v>133.39920948616603</c:v>
                </c:pt>
                <c:pt idx="26">
                  <c:v>136.36363636363637</c:v>
                </c:pt>
                <c:pt idx="27">
                  <c:v>139.32806324110672</c:v>
                </c:pt>
                <c:pt idx="28">
                  <c:v>142.29249011857709</c:v>
                </c:pt>
                <c:pt idx="29">
                  <c:v>145.25691699604747</c:v>
                </c:pt>
                <c:pt idx="30">
                  <c:v>148.22134387351778</c:v>
                </c:pt>
                <c:pt idx="31">
                  <c:v>151.18577075098813</c:v>
                </c:pt>
                <c:pt idx="32">
                  <c:v>154.15019762845853</c:v>
                </c:pt>
                <c:pt idx="33">
                  <c:v>157.11462450592887</c:v>
                </c:pt>
                <c:pt idx="34">
                  <c:v>160.07905138339922</c:v>
                </c:pt>
                <c:pt idx="35">
                  <c:v>163.04347826086959</c:v>
                </c:pt>
                <c:pt idx="36">
                  <c:v>166.00790513833996</c:v>
                </c:pt>
                <c:pt idx="37">
                  <c:v>168.97233201581028</c:v>
                </c:pt>
                <c:pt idx="38">
                  <c:v>171.93675889328063</c:v>
                </c:pt>
                <c:pt idx="39">
                  <c:v>174.901185770751</c:v>
                </c:pt>
                <c:pt idx="40">
                  <c:v>177.86561264822137</c:v>
                </c:pt>
                <c:pt idx="41">
                  <c:v>180.83003952569169</c:v>
                </c:pt>
                <c:pt idx="42">
                  <c:v>183.79446640316209</c:v>
                </c:pt>
                <c:pt idx="43">
                  <c:v>186.75889328063244</c:v>
                </c:pt>
                <c:pt idx="44">
                  <c:v>189.72332015810278</c:v>
                </c:pt>
                <c:pt idx="45">
                  <c:v>192.68774703557315</c:v>
                </c:pt>
                <c:pt idx="46">
                  <c:v>195.6521739130435</c:v>
                </c:pt>
                <c:pt idx="47">
                  <c:v>198.61660079051384</c:v>
                </c:pt>
                <c:pt idx="48">
                  <c:v>201.58102766798419</c:v>
                </c:pt>
                <c:pt idx="49">
                  <c:v>204.54545454545456</c:v>
                </c:pt>
                <c:pt idx="50">
                  <c:v>207.50988142292491</c:v>
                </c:pt>
                <c:pt idx="51">
                  <c:v>210.47430830039528</c:v>
                </c:pt>
                <c:pt idx="52">
                  <c:v>213.43873517786562</c:v>
                </c:pt>
                <c:pt idx="53">
                  <c:v>216.40316205533597</c:v>
                </c:pt>
                <c:pt idx="54">
                  <c:v>219.36758893280631</c:v>
                </c:pt>
                <c:pt idx="55">
                  <c:v>222.33201581027672</c:v>
                </c:pt>
                <c:pt idx="56">
                  <c:v>225.29644268774709</c:v>
                </c:pt>
                <c:pt idx="57">
                  <c:v>228.2608695652174</c:v>
                </c:pt>
                <c:pt idx="58">
                  <c:v>231.22529644268775</c:v>
                </c:pt>
                <c:pt idx="59">
                  <c:v>234.18972332015818</c:v>
                </c:pt>
                <c:pt idx="60">
                  <c:v>237.1541501976285</c:v>
                </c:pt>
                <c:pt idx="61">
                  <c:v>240.11857707509881</c:v>
                </c:pt>
                <c:pt idx="62">
                  <c:v>243.08300395256921</c:v>
                </c:pt>
                <c:pt idx="63">
                  <c:v>246.04743083003953</c:v>
                </c:pt>
                <c:pt idx="64">
                  <c:v>249.0118577075099</c:v>
                </c:pt>
                <c:pt idx="65">
                  <c:v>251.97628458498025</c:v>
                </c:pt>
                <c:pt idx="66">
                  <c:v>254.94071146245057</c:v>
                </c:pt>
                <c:pt idx="67">
                  <c:v>257.905138339921</c:v>
                </c:pt>
                <c:pt idx="68">
                  <c:v>260.86956521739131</c:v>
                </c:pt>
                <c:pt idx="69">
                  <c:v>263.83399209486163</c:v>
                </c:pt>
                <c:pt idx="70">
                  <c:v>266.79841897233206</c:v>
                </c:pt>
                <c:pt idx="71">
                  <c:v>269.76284584980243</c:v>
                </c:pt>
                <c:pt idx="72">
                  <c:v>272.72727272727275</c:v>
                </c:pt>
                <c:pt idx="73">
                  <c:v>275.69169960474312</c:v>
                </c:pt>
                <c:pt idx="74">
                  <c:v>278.65612648221344</c:v>
                </c:pt>
                <c:pt idx="75">
                  <c:v>281.62055335968381</c:v>
                </c:pt>
                <c:pt idx="76">
                  <c:v>284.58498023715418</c:v>
                </c:pt>
                <c:pt idx="77">
                  <c:v>287.54940711462456</c:v>
                </c:pt>
                <c:pt idx="78">
                  <c:v>290.51383399209493</c:v>
                </c:pt>
                <c:pt idx="79">
                  <c:v>293.47826086956525</c:v>
                </c:pt>
              </c:numCache>
            </c:numRef>
          </c:xVal>
          <c:yVal>
            <c:numRef>
              <c:f>'GA Aircraft Estimation'!$H$141:$H$220</c:f>
              <c:numCache>
                <c:formatCode>0.00</c:formatCode>
                <c:ptCount val="80"/>
                <c:pt idx="0">
                  <c:v>196.67997203405139</c:v>
                </c:pt>
                <c:pt idx="1">
                  <c:v>180.15796529846341</c:v>
                </c:pt>
                <c:pt idx="2">
                  <c:v>166.00565254038784</c:v>
                </c:pt>
                <c:pt idx="3">
                  <c:v>153.8276860451885</c:v>
                </c:pt>
                <c:pt idx="4">
                  <c:v>143.30932631220477</c:v>
                </c:pt>
                <c:pt idx="5">
                  <c:v>134.19749476174115</c:v>
                </c:pt>
                <c:pt idx="6">
                  <c:v>126.28682588768133</c:v>
                </c:pt>
                <c:pt idx="7">
                  <c:v>119.40926616982775</c:v>
                </c:pt>
                <c:pt idx="8">
                  <c:v>113.426225239711</c:v>
                </c:pt>
                <c:pt idx="9">
                  <c:v>108.22258785700058</c:v>
                </c:pt>
                <c:pt idx="10">
                  <c:v>103.70209907013658</c:v>
                </c:pt>
                <c:pt idx="11">
                  <c:v>99.783774119276032</c:v>
                </c:pt>
                <c:pt idx="12">
                  <c:v>96.39908104238701</c:v>
                </c:pt>
                <c:pt idx="13">
                  <c:v>93.489711598947821</c:v>
                </c:pt>
                <c:pt idx="14">
                  <c:v>91.00580418736439</c:v>
                </c:pt>
                <c:pt idx="15">
                  <c:v>88.904516966913647</c:v>
                </c:pt>
                <c:pt idx="16">
                  <c:v>87.148874475739291</c:v>
                </c:pt>
                <c:pt idx="17">
                  <c:v>85.706829434013272</c:v>
                </c:pt>
                <c:pt idx="18">
                  <c:v>84.550495043781154</c:v>
                </c:pt>
                <c:pt idx="19">
                  <c:v>83.655513273035083</c:v>
                </c:pt>
                <c:pt idx="20">
                  <c:v>83.00053227659528</c:v>
                </c:pt>
                <c:pt idx="21">
                  <c:v>82.56677192554173</c:v>
                </c:pt>
                <c:pt idx="22">
                  <c:v>82.337660867676746</c:v>
                </c:pt>
                <c:pt idx="23">
                  <c:v>82.298531969640209</c:v>
                </c:pt>
                <c:pt idx="24">
                  <c:v>82.436365649476699</c:v>
                </c:pt>
                <c:pt idx="25">
                  <c:v>82.739572682705557</c:v>
                </c:pt>
                <c:pt idx="26">
                  <c:v>83.19780969333614</c:v>
                </c:pt>
                <c:pt idx="27">
                  <c:v>83.801821826996644</c:v>
                </c:pt>
                <c:pt idx="28">
                  <c:v>84.543308124089904</c:v>
                </c:pt>
                <c:pt idx="29">
                  <c:v>85.414805925508404</c:v>
                </c:pt>
                <c:pt idx="30">
                  <c:v>86.409591296814085</c:v>
                </c:pt>
                <c:pt idx="31">
                  <c:v>87.521592983341833</c:v>
                </c:pt>
                <c:pt idx="32">
                  <c:v>88.745317834979645</c:v>
                </c:pt>
                <c:pt idx="33">
                  <c:v>90.075785986020165</c:v>
                </c:pt>
                <c:pt idx="34">
                  <c:v>91.508474358537157</c:v>
                </c:pt>
                <c:pt idx="35">
                  <c:v>93.039267289814759</c:v>
                </c:pt>
                <c:pt idx="36">
                  <c:v>94.664413275369313</c:v>
                </c:pt>
                <c:pt idx="37">
                  <c:v>96.380486976906738</c:v>
                </c:pt>
                <c:pt idx="38">
                  <c:v>98.184355775393456</c:v>
                </c:pt>
                <c:pt idx="39">
                  <c:v>100.07315025827218</c:v>
                </c:pt>
                <c:pt idx="40">
                  <c:v>102.04423812071961</c:v>
                </c:pt>
                <c:pt idx="41">
                  <c:v>104.09520103693691</c:v>
                </c:pt>
                <c:pt idx="42">
                  <c:v>106.22381412138705</c:v>
                </c:pt>
                <c:pt idx="43">
                  <c:v>108.42802765375136</c:v>
                </c:pt>
                <c:pt idx="44">
                  <c:v>110.70595078688777</c:v>
                </c:pt>
                <c:pt idx="45">
                  <c:v>113.05583699563735</c:v>
                </c:pt>
                <c:pt idx="46">
                  <c:v>115.47607105709137</c:v>
                </c:pt>
                <c:pt idx="47">
                  <c:v>117.96515738084474</c:v>
                </c:pt>
                <c:pt idx="48">
                  <c:v>120.52170953159933</c:v>
                </c:pt>
                <c:pt idx="49">
                  <c:v>123.1444408068912</c:v>
                </c:pt>
                <c:pt idx="50">
                  <c:v>125.83215575023087</c:v>
                </c:pt>
                <c:pt idx="51">
                  <c:v>128.58374249501051</c:v>
                </c:pt>
                <c:pt idx="52">
                  <c:v>131.39816584752191</c:v>
                </c:pt>
                <c:pt idx="53">
                  <c:v>134.27446102864906</c:v>
                </c:pt>
                <c:pt idx="54">
                  <c:v>137.21172800351545</c:v>
                </c:pt>
                <c:pt idx="55">
                  <c:v>140.20912633679507</c:v>
                </c:pt>
                <c:pt idx="56">
                  <c:v>143.26587051872286</c:v>
                </c:pt>
                <c:pt idx="57">
                  <c:v>146.38122571322307</c:v>
                </c:pt>
                <c:pt idx="58">
                  <c:v>149.55450388514222</c:v>
                </c:pt>
                <c:pt idx="59">
                  <c:v>152.785060268443</c:v>
                </c:pt>
                <c:pt idx="60">
                  <c:v>156.07229014147853</c:v>
                </c:pt>
                <c:pt idx="61">
                  <c:v>159.41562587920805</c:v>
                </c:pt>
                <c:pt idx="62">
                  <c:v>162.81453425550185</c:v>
                </c:pt>
                <c:pt idx="63">
                  <c:v>166.26851397157773</c:v>
                </c:pt>
                <c:pt idx="64">
                  <c:v>169.77709338916267</c:v>
                </c:pt>
                <c:pt idx="65">
                  <c:v>173.33982844922565</c:v>
                </c:pt>
                <c:pt idx="66">
                  <c:v>176.95630075912106</c:v>
                </c:pt>
                <c:pt idx="67">
                  <c:v>180.62611583274716</c:v>
                </c:pt>
                <c:pt idx="68">
                  <c:v>184.34890146988812</c:v>
                </c:pt>
                <c:pt idx="69">
                  <c:v>188.12430626230099</c:v>
                </c:pt>
                <c:pt idx="70">
                  <c:v>191.95199821534368</c:v>
                </c:pt>
                <c:pt idx="71">
                  <c:v>195.831663475044</c:v>
                </c:pt>
                <c:pt idx="72">
                  <c:v>199.76300515149006</c:v>
                </c:pt>
                <c:pt idx="73">
                  <c:v>203.74574223030308</c:v>
                </c:pt>
                <c:pt idx="74">
                  <c:v>207.77960856473439</c:v>
                </c:pt>
                <c:pt idx="75">
                  <c:v>211.86435194163579</c:v>
                </c:pt>
                <c:pt idx="76">
                  <c:v>215.99973321517729</c:v>
                </c:pt>
                <c:pt idx="77">
                  <c:v>220.18552550275564</c:v>
                </c:pt>
                <c:pt idx="78">
                  <c:v>224.4215134380419</c:v>
                </c:pt>
                <c:pt idx="79">
                  <c:v>228.70749247657506</c:v>
                </c:pt>
              </c:numCache>
            </c:numRef>
          </c:yVal>
          <c:smooth val="0"/>
          <c:extLst>
            <c:ext xmlns:c16="http://schemas.microsoft.com/office/drawing/2014/chart" uri="{C3380CC4-5D6E-409C-BE32-E72D297353CC}">
              <c16:uniqueId val="{00000000-9BB5-4F6E-AACC-3500968B2B05}"/>
            </c:ext>
          </c:extLst>
        </c:ser>
        <c:dLbls>
          <c:showLegendKey val="0"/>
          <c:showVal val="0"/>
          <c:showCatName val="0"/>
          <c:showSerName val="0"/>
          <c:showPercent val="0"/>
          <c:showBubbleSize val="0"/>
        </c:dLbls>
        <c:axId val="295104991"/>
        <c:axId val="878832319"/>
      </c:scatterChart>
      <c:valAx>
        <c:axId val="295104991"/>
        <c:scaling>
          <c:orientation val="minMax"/>
        </c:scaling>
        <c:delete val="0"/>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8832319"/>
        <c:crosses val="autoZero"/>
        <c:crossBetween val="midCat"/>
      </c:valAx>
      <c:valAx>
        <c:axId val="878832319"/>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95104991"/>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aseline="0"/>
              <a:t>Range</a:t>
            </a:r>
            <a:r>
              <a:rPr lang="en-US"/>
              <a:t> and Endurance</a:t>
            </a:r>
            <a:r>
              <a:rPr lang="en-US" baseline="0"/>
              <a:t> vs Speed</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v>Endurance</c:v>
          </c:tx>
          <c:spPr>
            <a:ln w="25400" cap="rnd">
              <a:noFill/>
              <a:round/>
            </a:ln>
            <a:effectLst/>
          </c:spPr>
          <c:marker>
            <c:symbol val="circle"/>
            <c:size val="5"/>
            <c:spPr>
              <a:solidFill>
                <a:schemeClr val="accent1"/>
              </a:solidFill>
              <a:ln w="9525">
                <a:solidFill>
                  <a:schemeClr val="accent1"/>
                </a:solidFill>
              </a:ln>
              <a:effectLst/>
            </c:spPr>
          </c:marker>
          <c:xVal>
            <c:numRef>
              <c:f>'GA Aircraft Estimation'!$B$127:$B$220</c:f>
              <c:numCache>
                <c:formatCode>0.00</c:formatCode>
                <c:ptCount val="94"/>
                <c:pt idx="0">
                  <c:v>17.786561264822137</c:v>
                </c:pt>
                <c:pt idx="1">
                  <c:v>20.750988142292496</c:v>
                </c:pt>
                <c:pt idx="2">
                  <c:v>23.715415019762847</c:v>
                </c:pt>
                <c:pt idx="3">
                  <c:v>26.679841897233203</c:v>
                </c:pt>
                <c:pt idx="4">
                  <c:v>29.644268774703562</c:v>
                </c:pt>
                <c:pt idx="5">
                  <c:v>32.608695652173914</c:v>
                </c:pt>
                <c:pt idx="6">
                  <c:v>35.573122529644273</c:v>
                </c:pt>
                <c:pt idx="7">
                  <c:v>38.537549407114632</c:v>
                </c:pt>
                <c:pt idx="8">
                  <c:v>41.501976284584991</c:v>
                </c:pt>
                <c:pt idx="9">
                  <c:v>44.466403162055343</c:v>
                </c:pt>
                <c:pt idx="10">
                  <c:v>47.430830039525695</c:v>
                </c:pt>
                <c:pt idx="11">
                  <c:v>50.395256916996047</c:v>
                </c:pt>
                <c:pt idx="12">
                  <c:v>53.359683794466406</c:v>
                </c:pt>
                <c:pt idx="13">
                  <c:v>56.324110671936772</c:v>
                </c:pt>
                <c:pt idx="14">
                  <c:v>59.288537549407124</c:v>
                </c:pt>
                <c:pt idx="15">
                  <c:v>62.252964426877476</c:v>
                </c:pt>
                <c:pt idx="16">
                  <c:v>65.217391304347828</c:v>
                </c:pt>
                <c:pt idx="17">
                  <c:v>68.181818181818187</c:v>
                </c:pt>
                <c:pt idx="18">
                  <c:v>71.146245059288546</c:v>
                </c:pt>
                <c:pt idx="19">
                  <c:v>74.110671936758891</c:v>
                </c:pt>
                <c:pt idx="20">
                  <c:v>77.075098814229264</c:v>
                </c:pt>
                <c:pt idx="21">
                  <c:v>80.039525691699609</c:v>
                </c:pt>
                <c:pt idx="22">
                  <c:v>83.003952569169982</c:v>
                </c:pt>
                <c:pt idx="23">
                  <c:v>85.968379446640313</c:v>
                </c:pt>
                <c:pt idx="24">
                  <c:v>88.932806324110686</c:v>
                </c:pt>
                <c:pt idx="25">
                  <c:v>91.897233201581045</c:v>
                </c:pt>
                <c:pt idx="26">
                  <c:v>94.86166007905139</c:v>
                </c:pt>
                <c:pt idx="27">
                  <c:v>97.826086956521749</c:v>
                </c:pt>
                <c:pt idx="28">
                  <c:v>100.79051383399209</c:v>
                </c:pt>
                <c:pt idx="29">
                  <c:v>103.75494071146245</c:v>
                </c:pt>
                <c:pt idx="30">
                  <c:v>106.71936758893281</c:v>
                </c:pt>
                <c:pt idx="31">
                  <c:v>109.68379446640316</c:v>
                </c:pt>
                <c:pt idx="32">
                  <c:v>112.64822134387354</c:v>
                </c:pt>
                <c:pt idx="33">
                  <c:v>115.61264822134387</c:v>
                </c:pt>
                <c:pt idx="34">
                  <c:v>118.57707509881425</c:v>
                </c:pt>
                <c:pt idx="35">
                  <c:v>121.54150197628461</c:v>
                </c:pt>
                <c:pt idx="36">
                  <c:v>124.50592885375495</c:v>
                </c:pt>
                <c:pt idx="37">
                  <c:v>127.47035573122528</c:v>
                </c:pt>
                <c:pt idx="38">
                  <c:v>130.43478260869566</c:v>
                </c:pt>
                <c:pt idx="39">
                  <c:v>133.39920948616603</c:v>
                </c:pt>
                <c:pt idx="40">
                  <c:v>136.36363636363637</c:v>
                </c:pt>
                <c:pt idx="41">
                  <c:v>139.32806324110672</c:v>
                </c:pt>
                <c:pt idx="42">
                  <c:v>142.29249011857709</c:v>
                </c:pt>
                <c:pt idx="43">
                  <c:v>145.25691699604747</c:v>
                </c:pt>
                <c:pt idx="44">
                  <c:v>148.22134387351778</c:v>
                </c:pt>
                <c:pt idx="45">
                  <c:v>151.18577075098813</c:v>
                </c:pt>
                <c:pt idx="46">
                  <c:v>154.15019762845853</c:v>
                </c:pt>
                <c:pt idx="47">
                  <c:v>157.11462450592887</c:v>
                </c:pt>
                <c:pt idx="48">
                  <c:v>160.07905138339922</c:v>
                </c:pt>
                <c:pt idx="49">
                  <c:v>163.04347826086959</c:v>
                </c:pt>
                <c:pt idx="50">
                  <c:v>166.00790513833996</c:v>
                </c:pt>
                <c:pt idx="51">
                  <c:v>168.97233201581028</c:v>
                </c:pt>
                <c:pt idx="52">
                  <c:v>171.93675889328063</c:v>
                </c:pt>
                <c:pt idx="53">
                  <c:v>174.901185770751</c:v>
                </c:pt>
                <c:pt idx="54">
                  <c:v>177.86561264822137</c:v>
                </c:pt>
                <c:pt idx="55">
                  <c:v>180.83003952569169</c:v>
                </c:pt>
                <c:pt idx="56">
                  <c:v>183.79446640316209</c:v>
                </c:pt>
                <c:pt idx="57">
                  <c:v>186.75889328063244</c:v>
                </c:pt>
                <c:pt idx="58">
                  <c:v>189.72332015810278</c:v>
                </c:pt>
                <c:pt idx="59">
                  <c:v>192.68774703557315</c:v>
                </c:pt>
                <c:pt idx="60">
                  <c:v>195.6521739130435</c:v>
                </c:pt>
                <c:pt idx="61">
                  <c:v>198.61660079051384</c:v>
                </c:pt>
                <c:pt idx="62">
                  <c:v>201.58102766798419</c:v>
                </c:pt>
                <c:pt idx="63">
                  <c:v>204.54545454545456</c:v>
                </c:pt>
                <c:pt idx="64">
                  <c:v>207.50988142292491</c:v>
                </c:pt>
                <c:pt idx="65">
                  <c:v>210.47430830039528</c:v>
                </c:pt>
                <c:pt idx="66">
                  <c:v>213.43873517786562</c:v>
                </c:pt>
                <c:pt idx="67">
                  <c:v>216.40316205533597</c:v>
                </c:pt>
                <c:pt idx="68">
                  <c:v>219.36758893280631</c:v>
                </c:pt>
                <c:pt idx="69">
                  <c:v>222.33201581027672</c:v>
                </c:pt>
                <c:pt idx="70">
                  <c:v>225.29644268774709</c:v>
                </c:pt>
                <c:pt idx="71">
                  <c:v>228.2608695652174</c:v>
                </c:pt>
                <c:pt idx="72">
                  <c:v>231.22529644268775</c:v>
                </c:pt>
                <c:pt idx="73">
                  <c:v>234.18972332015818</c:v>
                </c:pt>
                <c:pt idx="74">
                  <c:v>237.1541501976285</c:v>
                </c:pt>
                <c:pt idx="75">
                  <c:v>240.11857707509881</c:v>
                </c:pt>
                <c:pt idx="76">
                  <c:v>243.08300395256921</c:v>
                </c:pt>
                <c:pt idx="77">
                  <c:v>246.04743083003953</c:v>
                </c:pt>
                <c:pt idx="78">
                  <c:v>249.0118577075099</c:v>
                </c:pt>
                <c:pt idx="79">
                  <c:v>251.97628458498025</c:v>
                </c:pt>
                <c:pt idx="80">
                  <c:v>254.94071146245057</c:v>
                </c:pt>
                <c:pt idx="81">
                  <c:v>257.905138339921</c:v>
                </c:pt>
                <c:pt idx="82">
                  <c:v>260.86956521739131</c:v>
                </c:pt>
                <c:pt idx="83">
                  <c:v>263.83399209486163</c:v>
                </c:pt>
                <c:pt idx="84">
                  <c:v>266.79841897233206</c:v>
                </c:pt>
                <c:pt idx="85">
                  <c:v>269.76284584980243</c:v>
                </c:pt>
                <c:pt idx="86">
                  <c:v>272.72727272727275</c:v>
                </c:pt>
                <c:pt idx="87">
                  <c:v>275.69169960474312</c:v>
                </c:pt>
                <c:pt idx="88">
                  <c:v>278.65612648221344</c:v>
                </c:pt>
                <c:pt idx="89">
                  <c:v>281.62055335968381</c:v>
                </c:pt>
                <c:pt idx="90">
                  <c:v>284.58498023715418</c:v>
                </c:pt>
                <c:pt idx="91">
                  <c:v>287.54940711462456</c:v>
                </c:pt>
                <c:pt idx="92">
                  <c:v>290.51383399209493</c:v>
                </c:pt>
                <c:pt idx="93">
                  <c:v>293.47826086956525</c:v>
                </c:pt>
              </c:numCache>
            </c:numRef>
          </c:xVal>
          <c:yVal>
            <c:numRef>
              <c:f>'GA Aircraft Estimation'!$N$128:$N$220</c:f>
              <c:numCache>
                <c:formatCode>0</c:formatCode>
                <c:ptCount val="93"/>
                <c:pt idx="0">
                  <c:v>12.166730717635859</c:v>
                </c:pt>
                <c:pt idx="1">
                  <c:v>16.266887934409581</c:v>
                </c:pt>
                <c:pt idx="2">
                  <c:v>23.043914634404469</c:v>
                </c:pt>
                <c:pt idx="3">
                  <c:v>28.754758006121417</c:v>
                </c:pt>
                <c:pt idx="4">
                  <c:v>37.219417314790164</c:v>
                </c:pt>
                <c:pt idx="5">
                  <c:v>44.526896306360648</c:v>
                </c:pt>
                <c:pt idx="6">
                  <c:v>54.051417927735436</c:v>
                </c:pt>
                <c:pt idx="7">
                  <c:v>62.719692516776249</c:v>
                </c:pt>
                <c:pt idx="8">
                  <c:v>72.758666188041559</c:v>
                </c:pt>
                <c:pt idx="9">
                  <c:v>82.315778779340988</c:v>
                </c:pt>
                <c:pt idx="10">
                  <c:v>92.468462733807797</c:v>
                </c:pt>
                <c:pt idx="11">
                  <c:v>102.33657650525456</c:v>
                </c:pt>
                <c:pt idx="12">
                  <c:v>112.26985341242806</c:v>
                </c:pt>
                <c:pt idx="13">
                  <c:v>121.91150379213326</c:v>
                </c:pt>
                <c:pt idx="14">
                  <c:v>131.29758005741834</c:v>
                </c:pt>
                <c:pt idx="15">
                  <c:v>140.27727415883115</c:v>
                </c:pt>
                <c:pt idx="16">
                  <c:v>148.79890739745468</c:v>
                </c:pt>
                <c:pt idx="17">
                  <c:v>156.7798131491557</c:v>
                </c:pt>
                <c:pt idx="18">
                  <c:v>164.1623403392737</c:v>
                </c:pt>
                <c:pt idx="19">
                  <c:v>170.89226702977149</c:v>
                </c:pt>
                <c:pt idx="20">
                  <c:v>176.92719506556034</c:v>
                </c:pt>
                <c:pt idx="21">
                  <c:v>182.23403050166559</c:v>
                </c:pt>
                <c:pt idx="22">
                  <c:v>186.78998342763532</c:v>
                </c:pt>
                <c:pt idx="23">
                  <c:v>190.5822978185389</c:v>
                </c:pt>
                <c:pt idx="24">
                  <c:v>193.60814887402549</c:v>
                </c:pt>
                <c:pt idx="25">
                  <c:v>195.87427374879888</c:v>
                </c:pt>
                <c:pt idx="26">
                  <c:v>197.39644001216644</c:v>
                </c:pt>
                <c:pt idx="27">
                  <c:v>198.19872878889268</c:v>
                </c:pt>
                <c:pt idx="28">
                  <c:v>198.31265546524432</c:v>
                </c:pt>
                <c:pt idx="29">
                  <c:v>197.77615392305859</c:v>
                </c:pt>
                <c:pt idx="30">
                  <c:v>196.63246063270611</c:v>
                </c:pt>
                <c:pt idx="31">
                  <c:v>194.92894022609693</c:v>
                </c:pt>
                <c:pt idx="32">
                  <c:v>192.71589637179761</c:v>
                </c:pt>
                <c:pt idx="33">
                  <c:v>190.04541044649571</c:v>
                </c:pt>
                <c:pt idx="34">
                  <c:v>186.97024616784486</c:v>
                </c:pt>
                <c:pt idx="35">
                  <c:v>183.54285173572148</c:v>
                </c:pt>
                <c:pt idx="36">
                  <c:v>179.81448300136336</c:v>
                </c:pt>
                <c:pt idx="37">
                  <c:v>175.83446263467656</c:v>
                </c:pt>
                <c:pt idx="38">
                  <c:v>171.64958197748987</c:v>
                </c:pt>
                <c:pt idx="39">
                  <c:v>167.30364486890306</c:v>
                </c:pt>
                <c:pt idx="40">
                  <c:v>162.83714661494679</c:v>
                </c:pt>
                <c:pt idx="41">
                  <c:v>158.28707664988451</c:v>
                </c:pt>
                <c:pt idx="42">
                  <c:v>153.6868303241942</c:v>
                </c:pt>
                <c:pt idx="43">
                  <c:v>149.06621354245428</c:v>
                </c:pt>
                <c:pt idx="44">
                  <c:v>144.45152346195061</c:v>
                </c:pt>
                <c:pt idx="45">
                  <c:v>139.8656889032622</c:v>
                </c:pt>
                <c:pt idx="46">
                  <c:v>135.32845526114184</c:v>
                </c:pt>
                <c:pt idx="47">
                  <c:v>130.85660029764236</c:v>
                </c:pt>
                <c:pt idx="48">
                  <c:v>126.4641690421012</c:v>
                </c:pt>
                <c:pt idx="49">
                  <c:v>122.16271794700219</c:v>
                </c:pt>
                <c:pt idx="50">
                  <c:v>117.96156032932274</c:v>
                </c:pt>
                <c:pt idx="51">
                  <c:v>113.86800687696662</c:v>
                </c:pt>
                <c:pt idx="52">
                  <c:v>109.88759656579296</c:v>
                </c:pt>
                <c:pt idx="53">
                  <c:v>106.02431468788329</c:v>
                </c:pt>
                <c:pt idx="54">
                  <c:v>102.28079582952991</c:v>
                </c:pt>
                <c:pt idx="55">
                  <c:v>98.658510565665352</c:v>
                </c:pt>
                <c:pt idx="56">
                  <c:v>95.157935372921685</c:v>
                </c:pt>
                <c:pt idx="57">
                  <c:v>91.778705828170089</c:v>
                </c:pt>
                <c:pt idx="58">
                  <c:v>88.519753577326341</c:v>
                </c:pt>
                <c:pt idx="59">
                  <c:v>85.379427854498516</c:v>
                </c:pt>
                <c:pt idx="60">
                  <c:v>82.355602526884041</c:v>
                </c:pt>
                <c:pt idx="61">
                  <c:v>79.445769756679823</c:v>
                </c:pt>
                <c:pt idx="62">
                  <c:v>76.647121425528354</c:v>
                </c:pt>
                <c:pt idx="63">
                  <c:v>73.956619474871275</c:v>
                </c:pt>
                <c:pt idx="64">
                  <c:v>71.371056289607338</c:v>
                </c:pt>
                <c:pt idx="65">
                  <c:v>68.887106202855037</c:v>
                </c:pt>
                <c:pt idx="66">
                  <c:v>66.501369134510682</c:v>
                </c:pt>
                <c:pt idx="67">
                  <c:v>64.21040730195719</c:v>
                </c:pt>
                <c:pt idx="68">
                  <c:v>62.010775862501397</c:v>
                </c:pt>
                <c:pt idx="69">
                  <c:v>59.899048267434587</c:v>
                </c:pt>
                <c:pt idx="70">
                  <c:v>57.871837029552388</c:v>
                </c:pt>
                <c:pt idx="71">
                  <c:v>55.925810531287105</c:v>
                </c:pt>
                <c:pt idx="72">
                  <c:v>54.057706430416928</c:v>
                </c:pt>
                <c:pt idx="73">
                  <c:v>52.264342155289611</c:v>
                </c:pt>
                <c:pt idx="74">
                  <c:v>50.542622921939135</c:v>
                </c:pt>
                <c:pt idx="75">
                  <c:v>48.889547651440466</c:v>
                </c:pt>
                <c:pt idx="76">
                  <c:v>47.302213117219182</c:v>
                </c:pt>
                <c:pt idx="77">
                  <c:v>45.777816608561089</c:v>
                </c:pt>
                <c:pt idx="78">
                  <c:v>44.313657357939015</c:v>
                </c:pt>
                <c:pt idx="79">
                  <c:v>42.907136945619229</c:v>
                </c:pt>
                <c:pt idx="80">
                  <c:v>41.555758864950164</c:v>
                </c:pt>
                <c:pt idx="81">
                  <c:v>40.257127405385368</c:v>
                </c:pt>
                <c:pt idx="82">
                  <c:v>39.008945987276334</c:v>
                </c:pt>
                <c:pt idx="83">
                  <c:v>37.809015062433716</c:v>
                </c:pt>
                <c:pt idx="84">
                  <c:v>36.655229677063971</c:v>
                </c:pt>
                <c:pt idx="85">
                  <c:v>35.545576778637802</c:v>
                </c:pt>
                <c:pt idx="86">
                  <c:v>34.478132335253385</c:v>
                </c:pt>
                <c:pt idx="87">
                  <c:v>33.451058324872768</c:v>
                </c:pt>
                <c:pt idx="88">
                  <c:v>32.462599642202051</c:v>
                </c:pt>
                <c:pt idx="89">
                  <c:v>31.511080962756878</c:v>
                </c:pt>
                <c:pt idx="90">
                  <c:v>30.594903596620732</c:v>
                </c:pt>
                <c:pt idx="91">
                  <c:v>29.712542358408317</c:v>
                </c:pt>
                <c:pt idx="92">
                  <c:v>28.862542474848489</c:v>
                </c:pt>
              </c:numCache>
            </c:numRef>
          </c:yVal>
          <c:smooth val="0"/>
          <c:extLst>
            <c:ext xmlns:c16="http://schemas.microsoft.com/office/drawing/2014/chart" uri="{C3380CC4-5D6E-409C-BE32-E72D297353CC}">
              <c16:uniqueId val="{00000000-2E3F-4138-AD74-43AB379AF247}"/>
            </c:ext>
          </c:extLst>
        </c:ser>
        <c:ser>
          <c:idx val="1"/>
          <c:order val="1"/>
          <c:tx>
            <c:v>Range</c:v>
          </c:tx>
          <c:spPr>
            <a:ln w="25400" cap="rnd">
              <a:noFill/>
              <a:round/>
            </a:ln>
            <a:effectLst/>
          </c:spPr>
          <c:marker>
            <c:symbol val="circle"/>
            <c:size val="5"/>
            <c:spPr>
              <a:solidFill>
                <a:schemeClr val="accent2"/>
              </a:solidFill>
              <a:ln w="9525">
                <a:solidFill>
                  <a:schemeClr val="accent2"/>
                </a:solidFill>
              </a:ln>
              <a:effectLst/>
            </c:spPr>
          </c:marker>
          <c:xVal>
            <c:numRef>
              <c:f>'GA Aircraft Estimation'!$B$127:$B$220</c:f>
              <c:numCache>
                <c:formatCode>0.00</c:formatCode>
                <c:ptCount val="94"/>
                <c:pt idx="0">
                  <c:v>17.786561264822137</c:v>
                </c:pt>
                <c:pt idx="1">
                  <c:v>20.750988142292496</c:v>
                </c:pt>
                <c:pt idx="2">
                  <c:v>23.715415019762847</c:v>
                </c:pt>
                <c:pt idx="3">
                  <c:v>26.679841897233203</c:v>
                </c:pt>
                <c:pt idx="4">
                  <c:v>29.644268774703562</c:v>
                </c:pt>
                <c:pt idx="5">
                  <c:v>32.608695652173914</c:v>
                </c:pt>
                <c:pt idx="6">
                  <c:v>35.573122529644273</c:v>
                </c:pt>
                <c:pt idx="7">
                  <c:v>38.537549407114632</c:v>
                </c:pt>
                <c:pt idx="8">
                  <c:v>41.501976284584991</c:v>
                </c:pt>
                <c:pt idx="9">
                  <c:v>44.466403162055343</c:v>
                </c:pt>
                <c:pt idx="10">
                  <c:v>47.430830039525695</c:v>
                </c:pt>
                <c:pt idx="11">
                  <c:v>50.395256916996047</c:v>
                </c:pt>
                <c:pt idx="12">
                  <c:v>53.359683794466406</c:v>
                </c:pt>
                <c:pt idx="13">
                  <c:v>56.324110671936772</c:v>
                </c:pt>
                <c:pt idx="14">
                  <c:v>59.288537549407124</c:v>
                </c:pt>
                <c:pt idx="15">
                  <c:v>62.252964426877476</c:v>
                </c:pt>
                <c:pt idx="16">
                  <c:v>65.217391304347828</c:v>
                </c:pt>
                <c:pt idx="17">
                  <c:v>68.181818181818187</c:v>
                </c:pt>
                <c:pt idx="18">
                  <c:v>71.146245059288546</c:v>
                </c:pt>
                <c:pt idx="19">
                  <c:v>74.110671936758891</c:v>
                </c:pt>
                <c:pt idx="20">
                  <c:v>77.075098814229264</c:v>
                </c:pt>
                <c:pt idx="21">
                  <c:v>80.039525691699609</c:v>
                </c:pt>
                <c:pt idx="22">
                  <c:v>83.003952569169982</c:v>
                </c:pt>
                <c:pt idx="23">
                  <c:v>85.968379446640313</c:v>
                </c:pt>
                <c:pt idx="24">
                  <c:v>88.932806324110686</c:v>
                </c:pt>
                <c:pt idx="25">
                  <c:v>91.897233201581045</c:v>
                </c:pt>
                <c:pt idx="26">
                  <c:v>94.86166007905139</c:v>
                </c:pt>
                <c:pt idx="27">
                  <c:v>97.826086956521749</c:v>
                </c:pt>
                <c:pt idx="28">
                  <c:v>100.79051383399209</c:v>
                </c:pt>
                <c:pt idx="29">
                  <c:v>103.75494071146245</c:v>
                </c:pt>
                <c:pt idx="30">
                  <c:v>106.71936758893281</c:v>
                </c:pt>
                <c:pt idx="31">
                  <c:v>109.68379446640316</c:v>
                </c:pt>
                <c:pt idx="32">
                  <c:v>112.64822134387354</c:v>
                </c:pt>
                <c:pt idx="33">
                  <c:v>115.61264822134387</c:v>
                </c:pt>
                <c:pt idx="34">
                  <c:v>118.57707509881425</c:v>
                </c:pt>
                <c:pt idx="35">
                  <c:v>121.54150197628461</c:v>
                </c:pt>
                <c:pt idx="36">
                  <c:v>124.50592885375495</c:v>
                </c:pt>
                <c:pt idx="37">
                  <c:v>127.47035573122528</c:v>
                </c:pt>
                <c:pt idx="38">
                  <c:v>130.43478260869566</c:v>
                </c:pt>
                <c:pt idx="39">
                  <c:v>133.39920948616603</c:v>
                </c:pt>
                <c:pt idx="40">
                  <c:v>136.36363636363637</c:v>
                </c:pt>
                <c:pt idx="41">
                  <c:v>139.32806324110672</c:v>
                </c:pt>
                <c:pt idx="42">
                  <c:v>142.29249011857709</c:v>
                </c:pt>
                <c:pt idx="43">
                  <c:v>145.25691699604747</c:v>
                </c:pt>
                <c:pt idx="44">
                  <c:v>148.22134387351778</c:v>
                </c:pt>
                <c:pt idx="45">
                  <c:v>151.18577075098813</c:v>
                </c:pt>
                <c:pt idx="46">
                  <c:v>154.15019762845853</c:v>
                </c:pt>
                <c:pt idx="47">
                  <c:v>157.11462450592887</c:v>
                </c:pt>
                <c:pt idx="48">
                  <c:v>160.07905138339922</c:v>
                </c:pt>
                <c:pt idx="49">
                  <c:v>163.04347826086959</c:v>
                </c:pt>
                <c:pt idx="50">
                  <c:v>166.00790513833996</c:v>
                </c:pt>
                <c:pt idx="51">
                  <c:v>168.97233201581028</c:v>
                </c:pt>
                <c:pt idx="52">
                  <c:v>171.93675889328063</c:v>
                </c:pt>
                <c:pt idx="53">
                  <c:v>174.901185770751</c:v>
                </c:pt>
                <c:pt idx="54">
                  <c:v>177.86561264822137</c:v>
                </c:pt>
                <c:pt idx="55">
                  <c:v>180.83003952569169</c:v>
                </c:pt>
                <c:pt idx="56">
                  <c:v>183.79446640316209</c:v>
                </c:pt>
                <c:pt idx="57">
                  <c:v>186.75889328063244</c:v>
                </c:pt>
                <c:pt idx="58">
                  <c:v>189.72332015810278</c:v>
                </c:pt>
                <c:pt idx="59">
                  <c:v>192.68774703557315</c:v>
                </c:pt>
                <c:pt idx="60">
                  <c:v>195.6521739130435</c:v>
                </c:pt>
                <c:pt idx="61">
                  <c:v>198.61660079051384</c:v>
                </c:pt>
                <c:pt idx="62">
                  <c:v>201.58102766798419</c:v>
                </c:pt>
                <c:pt idx="63">
                  <c:v>204.54545454545456</c:v>
                </c:pt>
                <c:pt idx="64">
                  <c:v>207.50988142292491</c:v>
                </c:pt>
                <c:pt idx="65">
                  <c:v>210.47430830039528</c:v>
                </c:pt>
                <c:pt idx="66">
                  <c:v>213.43873517786562</c:v>
                </c:pt>
                <c:pt idx="67">
                  <c:v>216.40316205533597</c:v>
                </c:pt>
                <c:pt idx="68">
                  <c:v>219.36758893280631</c:v>
                </c:pt>
                <c:pt idx="69">
                  <c:v>222.33201581027672</c:v>
                </c:pt>
                <c:pt idx="70">
                  <c:v>225.29644268774709</c:v>
                </c:pt>
                <c:pt idx="71">
                  <c:v>228.2608695652174</c:v>
                </c:pt>
                <c:pt idx="72">
                  <c:v>231.22529644268775</c:v>
                </c:pt>
                <c:pt idx="73">
                  <c:v>234.18972332015818</c:v>
                </c:pt>
                <c:pt idx="74">
                  <c:v>237.1541501976285</c:v>
                </c:pt>
                <c:pt idx="75">
                  <c:v>240.11857707509881</c:v>
                </c:pt>
                <c:pt idx="76">
                  <c:v>243.08300395256921</c:v>
                </c:pt>
                <c:pt idx="77">
                  <c:v>246.04743083003953</c:v>
                </c:pt>
                <c:pt idx="78">
                  <c:v>249.0118577075099</c:v>
                </c:pt>
                <c:pt idx="79">
                  <c:v>251.97628458498025</c:v>
                </c:pt>
                <c:pt idx="80">
                  <c:v>254.94071146245057</c:v>
                </c:pt>
                <c:pt idx="81">
                  <c:v>257.905138339921</c:v>
                </c:pt>
                <c:pt idx="82">
                  <c:v>260.86956521739131</c:v>
                </c:pt>
                <c:pt idx="83">
                  <c:v>263.83399209486163</c:v>
                </c:pt>
                <c:pt idx="84">
                  <c:v>266.79841897233206</c:v>
                </c:pt>
                <c:pt idx="85">
                  <c:v>269.76284584980243</c:v>
                </c:pt>
                <c:pt idx="86">
                  <c:v>272.72727272727275</c:v>
                </c:pt>
                <c:pt idx="87">
                  <c:v>275.69169960474312</c:v>
                </c:pt>
                <c:pt idx="88">
                  <c:v>278.65612648221344</c:v>
                </c:pt>
                <c:pt idx="89">
                  <c:v>281.62055335968381</c:v>
                </c:pt>
                <c:pt idx="90">
                  <c:v>284.58498023715418</c:v>
                </c:pt>
                <c:pt idx="91">
                  <c:v>287.54940711462456</c:v>
                </c:pt>
                <c:pt idx="92">
                  <c:v>290.51383399209493</c:v>
                </c:pt>
                <c:pt idx="93">
                  <c:v>293.47826086956525</c:v>
                </c:pt>
              </c:numCache>
            </c:numRef>
          </c:xVal>
          <c:yVal>
            <c:numRef>
              <c:f>'GA Aircraft Estimation'!$P$128:$P$220</c:f>
              <c:numCache>
                <c:formatCode>0</c:formatCode>
                <c:ptCount val="93"/>
                <c:pt idx="0">
                  <c:v>4.2078614142021271</c:v>
                </c:pt>
                <c:pt idx="1">
                  <c:v>6.4295999740749341</c:v>
                </c:pt>
                <c:pt idx="2">
                  <c:v>10.24679998565416</c:v>
                </c:pt>
                <c:pt idx="3">
                  <c:v>14.206896248083707</c:v>
                </c:pt>
                <c:pt idx="4">
                  <c:v>20.227944192820743</c:v>
                </c:pt>
                <c:pt idx="5">
                  <c:v>26.399345636182208</c:v>
                </c:pt>
                <c:pt idx="6">
                  <c:v>34.716819815245096</c:v>
                </c:pt>
                <c:pt idx="7">
                  <c:v>43.383186523461838</c:v>
                </c:pt>
                <c:pt idx="8">
                  <c:v>53.921936404181004</c:v>
                </c:pt>
                <c:pt idx="9">
                  <c:v>65.071761880901974</c:v>
                </c:pt>
                <c:pt idx="10">
                  <c:v>77.666198936498631</c:v>
                </c:pt>
                <c:pt idx="11">
                  <c:v>91.010789382143386</c:v>
                </c:pt>
                <c:pt idx="12">
                  <c:v>105.39166081206194</c:v>
                </c:pt>
                <c:pt idx="13">
                  <c:v>120.46591283807636</c:v>
                </c:pt>
                <c:pt idx="14">
                  <c:v>136.22772634415938</c:v>
                </c:pt>
                <c:pt idx="15">
                  <c:v>152.47529799872953</c:v>
                </c:pt>
                <c:pt idx="16">
                  <c:v>169.08966749710763</c:v>
                </c:pt>
                <c:pt idx="17">
                  <c:v>185.90491677765499</c:v>
                </c:pt>
                <c:pt idx="18">
                  <c:v>202.76968915424121</c:v>
                </c:pt>
                <c:pt idx="19">
                  <c:v>219.52563946512151</c:v>
                </c:pt>
                <c:pt idx="20">
                  <c:v>236.01947958350445</c:v>
                </c:pt>
                <c:pt idx="21">
                  <c:v>252.10241373748212</c:v>
                </c:pt>
                <c:pt idx="22">
                  <c:v>267.63386953564344</c:v>
                </c:pt>
                <c:pt idx="23">
                  <c:v>282.48364301166839</c:v>
                </c:pt>
                <c:pt idx="24">
                  <c:v>296.53422011337898</c:v>
                </c:pt>
                <c:pt idx="25">
                  <c:v>309.68264624316032</c:v>
                </c:pt>
                <c:pt idx="26">
                  <c:v>321.84202175896706</c:v>
                </c:pt>
                <c:pt idx="27">
                  <c:v>332.94252859794227</c:v>
                </c:pt>
                <c:pt idx="28">
                  <c:v>342.93196350215175</c:v>
                </c:pt>
                <c:pt idx="29">
                  <c:v>351.77576784733742</c:v>
                </c:pt>
                <c:pt idx="30">
                  <c:v>359.45657329101414</c:v>
                </c:pt>
                <c:pt idx="31">
                  <c:v>365.97330674860103</c:v>
                </c:pt>
                <c:pt idx="32">
                  <c:v>371.33991889822664</c:v>
                </c:pt>
                <c:pt idx="33">
                  <c:v>375.58381511165169</c:v>
                </c:pt>
                <c:pt idx="34">
                  <c:v>378.74407573525895</c:v>
                </c:pt>
                <c:pt idx="35">
                  <c:v>380.86955399705056</c:v>
                </c:pt>
                <c:pt idx="36">
                  <c:v>382.01693523016911</c:v>
                </c:pt>
                <c:pt idx="37">
                  <c:v>382.24883181451429</c:v>
                </c:pt>
                <c:pt idx="38">
                  <c:v>381.63197574046666</c:v>
                </c:pt>
                <c:pt idx="39">
                  <c:v>380.23555652023424</c:v>
                </c:pt>
                <c:pt idx="40">
                  <c:v>378.1297376928112</c:v>
                </c:pt>
                <c:pt idx="41">
                  <c:v>375.38437150170245</c:v>
                </c:pt>
                <c:pt idx="42">
                  <c:v>372.06791926311848</c:v>
                </c:pt>
                <c:pt idx="43">
                  <c:v>368.24657495665582</c:v>
                </c:pt>
                <c:pt idx="44">
                  <c:v>363.98358184582412</c:v>
                </c:pt>
                <c:pt idx="45">
                  <c:v>359.3387264313061</c:v>
                </c:pt>
                <c:pt idx="46">
                  <c:v>354.36799055536159</c:v>
                </c:pt>
                <c:pt idx="47">
                  <c:v>349.1233407150537</c:v>
                </c:pt>
                <c:pt idx="48">
                  <c:v>343.65263326657941</c:v>
                </c:pt>
                <c:pt idx="49">
                  <c:v>337.99961487312868</c:v>
                </c:pt>
                <c:pt idx="50">
                  <c:v>332.20399895115594</c:v>
                </c:pt>
                <c:pt idx="51">
                  <c:v>326.30160073439049</c:v>
                </c:pt>
                <c:pt idx="52">
                  <c:v>320.32451568091824</c:v>
                </c:pt>
                <c:pt idx="53">
                  <c:v>314.3013281261363</c:v>
                </c:pt>
                <c:pt idx="54">
                  <c:v>308.25733920955156</c:v>
                </c:pt>
                <c:pt idx="55">
                  <c:v>302.21480509245322</c:v>
                </c:pt>
                <c:pt idx="56">
                  <c:v>296.19317828528</c:v>
                </c:pt>
                <c:pt idx="57">
                  <c:v>290.20934649223744</c:v>
                </c:pt>
                <c:pt idx="58">
                  <c:v>284.27786474931884</c:v>
                </c:pt>
                <c:pt idx="59">
                  <c:v>278.41117778640825</c:v>
                </c:pt>
                <c:pt idx="60">
                  <c:v>272.61983049907269</c:v>
                </c:pt>
                <c:pt idx="61">
                  <c:v>266.91266519042631</c:v>
                </c:pt>
                <c:pt idx="62">
                  <c:v>261.29700485975576</c:v>
                </c:pt>
                <c:pt idx="63">
                  <c:v>255.77882229451529</c:v>
                </c:pt>
                <c:pt idx="64">
                  <c:v>250.3628950870613</c:v>
                </c:pt>
                <c:pt idx="65">
                  <c:v>245.05294696667804</c:v>
                </c:pt>
                <c:pt idx="66">
                  <c:v>239.85177602862052</c:v>
                </c:pt>
                <c:pt idx="67">
                  <c:v>234.76137057039682</c:v>
                </c:pt>
                <c:pt idx="68">
                  <c:v>229.78301332448643</c:v>
                </c:pt>
                <c:pt idx="69">
                  <c:v>224.91737491724456</c:v>
                </c:pt>
                <c:pt idx="70">
                  <c:v>220.16459739503628</c:v>
                </c:pt>
                <c:pt idx="71">
                  <c:v>215.52436864824082</c:v>
                </c:pt>
                <c:pt idx="72">
                  <c:v>210.99598853769459</c:v>
                </c:pt>
                <c:pt idx="73">
                  <c:v>206.57842749126334</c:v>
                </c:pt>
                <c:pt idx="74">
                  <c:v>202.27037829432163</c:v>
                </c:pt>
                <c:pt idx="75">
                  <c:v>198.07030174990706</c:v>
                </c:pt>
                <c:pt idx="76">
                  <c:v>193.97646683444626</c:v>
                </c:pt>
                <c:pt idx="77">
                  <c:v>189.98698592485829</c:v>
                </c:pt>
                <c:pt idx="78">
                  <c:v>186.09984562375573</c:v>
                </c:pt>
                <c:pt idx="79">
                  <c:v>182.31293366221607</c:v>
                </c:pt>
                <c:pt idx="80">
                  <c:v>178.62406231475617</c:v>
                </c:pt>
                <c:pt idx="81">
                  <c:v>175.03098871906681</c:v>
                </c:pt>
                <c:pt idx="82">
                  <c:v>171.53143245393247</c:v>
                </c:pt>
                <c:pt idx="83">
                  <c:v>168.12309069264009</c:v>
                </c:pt>
                <c:pt idx="84">
                  <c:v>164.80365121604854</c:v>
                </c:pt>
                <c:pt idx="85">
                  <c:v>161.57080353926273</c:v>
                </c:pt>
                <c:pt idx="86">
                  <c:v>158.42224837838762</c:v>
                </c:pt>
                <c:pt idx="87">
                  <c:v>155.35570565899408</c:v>
                </c:pt>
                <c:pt idx="88">
                  <c:v>152.3689212455136</c:v>
                </c:pt>
                <c:pt idx="89">
                  <c:v>149.45967255062553</c:v>
                </c:pt>
                <c:pt idx="90">
                  <c:v>146.62577316562312</c:v>
                </c:pt>
                <c:pt idx="91">
                  <c:v>143.86507663656204</c:v>
                </c:pt>
                <c:pt idx="92">
                  <c:v>141.17547949654153</c:v>
                </c:pt>
              </c:numCache>
            </c:numRef>
          </c:yVal>
          <c:smooth val="0"/>
          <c:extLst>
            <c:ext xmlns:c16="http://schemas.microsoft.com/office/drawing/2014/chart" uri="{C3380CC4-5D6E-409C-BE32-E72D297353CC}">
              <c16:uniqueId val="{00000001-2E3F-4138-AD74-43AB379AF247}"/>
            </c:ext>
          </c:extLst>
        </c:ser>
        <c:dLbls>
          <c:showLegendKey val="0"/>
          <c:showVal val="0"/>
          <c:showCatName val="0"/>
          <c:showSerName val="0"/>
          <c:showPercent val="0"/>
          <c:showBubbleSize val="0"/>
        </c:dLbls>
        <c:axId val="230947807"/>
        <c:axId val="230944927"/>
      </c:scatterChart>
      <c:valAx>
        <c:axId val="230947807"/>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True Speed, kts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0944927"/>
        <c:crosses val="autoZero"/>
        <c:crossBetween val="midCat"/>
      </c:valAx>
      <c:valAx>
        <c:axId val="23094492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Mins,</a:t>
                </a:r>
                <a:r>
                  <a:rPr lang="en-US" baseline="0"/>
                  <a:t> Miles</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0947807"/>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45720</xdr:colOff>
      <xdr:row>8</xdr:row>
      <xdr:rowOff>45720</xdr:rowOff>
    </xdr:from>
    <xdr:to>
      <xdr:col>10</xdr:col>
      <xdr:colOff>457200</xdr:colOff>
      <xdr:row>12</xdr:row>
      <xdr:rowOff>114300</xdr:rowOff>
    </xdr:to>
    <xdr:sp macro="" textlink="">
      <xdr:nvSpPr>
        <xdr:cNvPr id="2" name="TextBox 1">
          <a:extLst>
            <a:ext uri="{FF2B5EF4-FFF2-40B4-BE49-F238E27FC236}">
              <a16:creationId xmlns:a16="http://schemas.microsoft.com/office/drawing/2014/main" id="{707B699E-0767-4E61-9316-10B04F8B0EB9}"/>
            </a:ext>
          </a:extLst>
        </xdr:cNvPr>
        <xdr:cNvSpPr txBox="1"/>
      </xdr:nvSpPr>
      <xdr:spPr>
        <a:xfrm>
          <a:off x="6583680" y="1508760"/>
          <a:ext cx="3528060" cy="8001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latin typeface="+mn-lt"/>
              <a:ea typeface="+mn-ea"/>
              <a:cs typeface="+mn-cs"/>
            </a:rPr>
            <a:t>By assuming some L/D, you're</a:t>
          </a:r>
          <a:r>
            <a:rPr lang="en-US" sz="1100" baseline="0">
              <a:solidFill>
                <a:schemeClr val="dk1"/>
              </a:solidFill>
              <a:latin typeface="+mn-lt"/>
              <a:ea typeface="+mn-ea"/>
              <a:cs typeface="+mn-cs"/>
            </a:rPr>
            <a:t> making some assumption that your aircraft (wing, esp) is sized for cruise at the combination of speed and altitude you're looking at.</a:t>
          </a:r>
          <a:endParaRPr lang="en-US" sz="1100">
            <a:solidFill>
              <a:schemeClr val="dk1"/>
            </a:solidFill>
            <a:latin typeface="+mn-lt"/>
            <a:ea typeface="+mn-ea"/>
            <a:cs typeface="+mn-cs"/>
          </a:endParaRPr>
        </a:p>
      </xdr:txBody>
    </xdr:sp>
    <xdr:clientData/>
  </xdr:twoCellAnchor>
  <xdr:twoCellAnchor>
    <xdr:from>
      <xdr:col>2</xdr:col>
      <xdr:colOff>441960</xdr:colOff>
      <xdr:row>10</xdr:row>
      <xdr:rowOff>80010</xdr:rowOff>
    </xdr:from>
    <xdr:to>
      <xdr:col>7</xdr:col>
      <xdr:colOff>45720</xdr:colOff>
      <xdr:row>11</xdr:row>
      <xdr:rowOff>91440</xdr:rowOff>
    </xdr:to>
    <xdr:cxnSp macro="">
      <xdr:nvCxnSpPr>
        <xdr:cNvPr id="3" name="Straight Arrow Connector 2">
          <a:extLst>
            <a:ext uri="{FF2B5EF4-FFF2-40B4-BE49-F238E27FC236}">
              <a16:creationId xmlns:a16="http://schemas.microsoft.com/office/drawing/2014/main" id="{32C2CCFC-1C93-4A62-9778-479865AF9D9D}"/>
            </a:ext>
          </a:extLst>
        </xdr:cNvPr>
        <xdr:cNvCxnSpPr>
          <a:stCxn id="2" idx="1"/>
        </xdr:cNvCxnSpPr>
      </xdr:nvCxnSpPr>
      <xdr:spPr>
        <a:xfrm flipH="1">
          <a:off x="3817620" y="1908810"/>
          <a:ext cx="2766060" cy="19431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45720</xdr:colOff>
      <xdr:row>8</xdr:row>
      <xdr:rowOff>45720</xdr:rowOff>
    </xdr:from>
    <xdr:to>
      <xdr:col>10</xdr:col>
      <xdr:colOff>457200</xdr:colOff>
      <xdr:row>12</xdr:row>
      <xdr:rowOff>114300</xdr:rowOff>
    </xdr:to>
    <xdr:sp macro="" textlink="">
      <xdr:nvSpPr>
        <xdr:cNvPr id="2" name="TextBox 1">
          <a:extLst>
            <a:ext uri="{FF2B5EF4-FFF2-40B4-BE49-F238E27FC236}">
              <a16:creationId xmlns:a16="http://schemas.microsoft.com/office/drawing/2014/main" id="{29C4D880-BA3D-46DB-8C49-0EA6F9C98246}"/>
            </a:ext>
          </a:extLst>
        </xdr:cNvPr>
        <xdr:cNvSpPr txBox="1"/>
      </xdr:nvSpPr>
      <xdr:spPr>
        <a:xfrm>
          <a:off x="6583680" y="1508760"/>
          <a:ext cx="3528060" cy="8001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latin typeface="+mn-lt"/>
              <a:ea typeface="+mn-ea"/>
              <a:cs typeface="+mn-cs"/>
            </a:rPr>
            <a:t>By assuming some L/D, you're</a:t>
          </a:r>
          <a:r>
            <a:rPr lang="en-US" sz="1100" baseline="0">
              <a:solidFill>
                <a:schemeClr val="dk1"/>
              </a:solidFill>
              <a:latin typeface="+mn-lt"/>
              <a:ea typeface="+mn-ea"/>
              <a:cs typeface="+mn-cs"/>
            </a:rPr>
            <a:t> making some assumption that your aircraft (wing, esp) is sized for cruise at the combination of speed and altitude you're looking at.</a:t>
          </a:r>
          <a:endParaRPr lang="en-US" sz="1100">
            <a:solidFill>
              <a:schemeClr val="dk1"/>
            </a:solidFill>
            <a:latin typeface="+mn-lt"/>
            <a:ea typeface="+mn-ea"/>
            <a:cs typeface="+mn-cs"/>
          </a:endParaRPr>
        </a:p>
      </xdr:txBody>
    </xdr:sp>
    <xdr:clientData/>
  </xdr:twoCellAnchor>
  <xdr:twoCellAnchor>
    <xdr:from>
      <xdr:col>2</xdr:col>
      <xdr:colOff>441960</xdr:colOff>
      <xdr:row>10</xdr:row>
      <xdr:rowOff>80010</xdr:rowOff>
    </xdr:from>
    <xdr:to>
      <xdr:col>7</xdr:col>
      <xdr:colOff>45720</xdr:colOff>
      <xdr:row>11</xdr:row>
      <xdr:rowOff>91440</xdr:rowOff>
    </xdr:to>
    <xdr:cxnSp macro="">
      <xdr:nvCxnSpPr>
        <xdr:cNvPr id="3" name="Straight Arrow Connector 2">
          <a:extLst>
            <a:ext uri="{FF2B5EF4-FFF2-40B4-BE49-F238E27FC236}">
              <a16:creationId xmlns:a16="http://schemas.microsoft.com/office/drawing/2014/main" id="{A0788098-27CD-45F2-A790-8BF2EB1260E4}"/>
            </a:ext>
          </a:extLst>
        </xdr:cNvPr>
        <xdr:cNvCxnSpPr>
          <a:stCxn id="2" idx="1"/>
        </xdr:cNvCxnSpPr>
      </xdr:nvCxnSpPr>
      <xdr:spPr>
        <a:xfrm flipH="1">
          <a:off x="3817620" y="1908810"/>
          <a:ext cx="2766060" cy="19431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45720</xdr:colOff>
      <xdr:row>8</xdr:row>
      <xdr:rowOff>45720</xdr:rowOff>
    </xdr:from>
    <xdr:to>
      <xdr:col>10</xdr:col>
      <xdr:colOff>457200</xdr:colOff>
      <xdr:row>12</xdr:row>
      <xdr:rowOff>114300</xdr:rowOff>
    </xdr:to>
    <xdr:sp macro="" textlink="">
      <xdr:nvSpPr>
        <xdr:cNvPr id="2" name="TextBox 1">
          <a:extLst>
            <a:ext uri="{FF2B5EF4-FFF2-40B4-BE49-F238E27FC236}">
              <a16:creationId xmlns:a16="http://schemas.microsoft.com/office/drawing/2014/main" id="{AA874ABB-F260-4670-97A7-C67466B75A6F}"/>
            </a:ext>
          </a:extLst>
        </xdr:cNvPr>
        <xdr:cNvSpPr txBox="1"/>
      </xdr:nvSpPr>
      <xdr:spPr>
        <a:xfrm>
          <a:off x="6583680" y="1508760"/>
          <a:ext cx="3528060" cy="8001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latin typeface="+mn-lt"/>
              <a:ea typeface="+mn-ea"/>
              <a:cs typeface="+mn-cs"/>
            </a:rPr>
            <a:t>By assuming some L/D, you're</a:t>
          </a:r>
          <a:r>
            <a:rPr lang="en-US" sz="1100" baseline="0">
              <a:solidFill>
                <a:schemeClr val="dk1"/>
              </a:solidFill>
              <a:latin typeface="+mn-lt"/>
              <a:ea typeface="+mn-ea"/>
              <a:cs typeface="+mn-cs"/>
            </a:rPr>
            <a:t> making some assumption that your aircraft (wing, esp) is sized for cruise at the combination of speed and altitude you're looking at.</a:t>
          </a:r>
          <a:endParaRPr lang="en-US" sz="1100">
            <a:solidFill>
              <a:schemeClr val="dk1"/>
            </a:solidFill>
            <a:latin typeface="+mn-lt"/>
            <a:ea typeface="+mn-ea"/>
            <a:cs typeface="+mn-cs"/>
          </a:endParaRPr>
        </a:p>
      </xdr:txBody>
    </xdr:sp>
    <xdr:clientData/>
  </xdr:twoCellAnchor>
  <xdr:twoCellAnchor>
    <xdr:from>
      <xdr:col>2</xdr:col>
      <xdr:colOff>441960</xdr:colOff>
      <xdr:row>10</xdr:row>
      <xdr:rowOff>80010</xdr:rowOff>
    </xdr:from>
    <xdr:to>
      <xdr:col>7</xdr:col>
      <xdr:colOff>45720</xdr:colOff>
      <xdr:row>11</xdr:row>
      <xdr:rowOff>91440</xdr:rowOff>
    </xdr:to>
    <xdr:cxnSp macro="">
      <xdr:nvCxnSpPr>
        <xdr:cNvPr id="3" name="Straight Arrow Connector 2">
          <a:extLst>
            <a:ext uri="{FF2B5EF4-FFF2-40B4-BE49-F238E27FC236}">
              <a16:creationId xmlns:a16="http://schemas.microsoft.com/office/drawing/2014/main" id="{09F01BF8-96E8-428F-907C-CF5846B5BBDD}"/>
            </a:ext>
          </a:extLst>
        </xdr:cNvPr>
        <xdr:cNvCxnSpPr>
          <a:stCxn id="2" idx="1"/>
        </xdr:cNvCxnSpPr>
      </xdr:nvCxnSpPr>
      <xdr:spPr>
        <a:xfrm flipH="1">
          <a:off x="3817620" y="1908810"/>
          <a:ext cx="2766060" cy="19431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91440</xdr:colOff>
      <xdr:row>11</xdr:row>
      <xdr:rowOff>53340</xdr:rowOff>
    </xdr:from>
    <xdr:to>
      <xdr:col>10</xdr:col>
      <xdr:colOff>502920</xdr:colOff>
      <xdr:row>15</xdr:row>
      <xdr:rowOff>121920</xdr:rowOff>
    </xdr:to>
    <xdr:sp macro="" textlink="">
      <xdr:nvSpPr>
        <xdr:cNvPr id="2" name="TextBox 1">
          <a:extLst>
            <a:ext uri="{FF2B5EF4-FFF2-40B4-BE49-F238E27FC236}">
              <a16:creationId xmlns:a16="http://schemas.microsoft.com/office/drawing/2014/main" id="{1307BE78-4DC2-A822-31AE-B9B6870EC16E}"/>
            </a:ext>
          </a:extLst>
        </xdr:cNvPr>
        <xdr:cNvSpPr txBox="1"/>
      </xdr:nvSpPr>
      <xdr:spPr>
        <a:xfrm>
          <a:off x="6515100" y="2247900"/>
          <a:ext cx="3528060" cy="8001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latin typeface="+mn-lt"/>
              <a:ea typeface="+mn-ea"/>
              <a:cs typeface="+mn-cs"/>
            </a:rPr>
            <a:t>By assuming some L/D, you're</a:t>
          </a:r>
          <a:r>
            <a:rPr lang="en-US" sz="1100" baseline="0">
              <a:solidFill>
                <a:schemeClr val="dk1"/>
              </a:solidFill>
              <a:latin typeface="+mn-lt"/>
              <a:ea typeface="+mn-ea"/>
              <a:cs typeface="+mn-cs"/>
            </a:rPr>
            <a:t> making some assumption that your aircraft (wing, esp) is sized for cruise at the combination of speed and altitude you're looking at.</a:t>
          </a:r>
          <a:endParaRPr lang="en-US" sz="1100">
            <a:solidFill>
              <a:schemeClr val="dk1"/>
            </a:solidFill>
            <a:latin typeface="+mn-lt"/>
            <a:ea typeface="+mn-ea"/>
            <a:cs typeface="+mn-cs"/>
          </a:endParaRPr>
        </a:p>
      </xdr:txBody>
    </xdr:sp>
    <xdr:clientData/>
  </xdr:twoCellAnchor>
  <xdr:twoCellAnchor>
    <xdr:from>
      <xdr:col>2</xdr:col>
      <xdr:colOff>373380</xdr:colOff>
      <xdr:row>13</xdr:row>
      <xdr:rowOff>87630</xdr:rowOff>
    </xdr:from>
    <xdr:to>
      <xdr:col>7</xdr:col>
      <xdr:colOff>91440</xdr:colOff>
      <xdr:row>14</xdr:row>
      <xdr:rowOff>99060</xdr:rowOff>
    </xdr:to>
    <xdr:cxnSp macro="">
      <xdr:nvCxnSpPr>
        <xdr:cNvPr id="4" name="Straight Arrow Connector 3">
          <a:extLst>
            <a:ext uri="{FF2B5EF4-FFF2-40B4-BE49-F238E27FC236}">
              <a16:creationId xmlns:a16="http://schemas.microsoft.com/office/drawing/2014/main" id="{C123445B-B0D1-8E01-094E-C4C3DB38B153}"/>
            </a:ext>
          </a:extLst>
        </xdr:cNvPr>
        <xdr:cNvCxnSpPr>
          <a:stCxn id="2" idx="1"/>
        </xdr:cNvCxnSpPr>
      </xdr:nvCxnSpPr>
      <xdr:spPr>
        <a:xfrm flipH="1">
          <a:off x="3749040" y="2647950"/>
          <a:ext cx="2766060" cy="19431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237228</xdr:colOff>
      <xdr:row>180</xdr:row>
      <xdr:rowOff>17929</xdr:rowOff>
    </xdr:from>
    <xdr:to>
      <xdr:col>24</xdr:col>
      <xdr:colOff>542028</xdr:colOff>
      <xdr:row>195</xdr:row>
      <xdr:rowOff>75527</xdr:rowOff>
    </xdr:to>
    <xdr:graphicFrame macro="">
      <xdr:nvGraphicFramePr>
        <xdr:cNvPr id="3" name="Chart 2">
          <a:extLst>
            <a:ext uri="{FF2B5EF4-FFF2-40B4-BE49-F238E27FC236}">
              <a16:creationId xmlns:a16="http://schemas.microsoft.com/office/drawing/2014/main" id="{01F963C7-593E-CAC8-8EC2-3C27786332A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157553</xdr:colOff>
      <xdr:row>128</xdr:row>
      <xdr:rowOff>102423</xdr:rowOff>
    </xdr:from>
    <xdr:to>
      <xdr:col>24</xdr:col>
      <xdr:colOff>468405</xdr:colOff>
      <xdr:row>143</xdr:row>
      <xdr:rowOff>158116</xdr:rowOff>
    </xdr:to>
    <xdr:graphicFrame macro="">
      <xdr:nvGraphicFramePr>
        <xdr:cNvPr id="6" name="Chart 5">
          <a:extLst>
            <a:ext uri="{FF2B5EF4-FFF2-40B4-BE49-F238E27FC236}">
              <a16:creationId xmlns:a16="http://schemas.microsoft.com/office/drawing/2014/main" id="{965EFDEB-5EC2-421D-C600-B9ECF662330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189605</xdr:colOff>
      <xdr:row>146</xdr:row>
      <xdr:rowOff>91889</xdr:rowOff>
    </xdr:from>
    <xdr:to>
      <xdr:col>24</xdr:col>
      <xdr:colOff>500457</xdr:colOff>
      <xdr:row>161</xdr:row>
      <xdr:rowOff>147582</xdr:rowOff>
    </xdr:to>
    <xdr:graphicFrame macro="">
      <xdr:nvGraphicFramePr>
        <xdr:cNvPr id="7" name="Chart 6">
          <a:extLst>
            <a:ext uri="{FF2B5EF4-FFF2-40B4-BE49-F238E27FC236}">
              <a16:creationId xmlns:a16="http://schemas.microsoft.com/office/drawing/2014/main" id="{BAB34128-DB29-6EFF-457C-5DCC6598741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17</xdr:col>
      <xdr:colOff>215153</xdr:colOff>
      <xdr:row>163</xdr:row>
      <xdr:rowOff>6388</xdr:rowOff>
    </xdr:from>
    <xdr:to>
      <xdr:col>24</xdr:col>
      <xdr:colOff>378423</xdr:colOff>
      <xdr:row>178</xdr:row>
      <xdr:rowOff>54461</xdr:rowOff>
    </xdr:to>
    <xdr:graphicFrame macro="">
      <xdr:nvGraphicFramePr>
        <xdr:cNvPr id="5" name="Chart 4">
          <a:extLst>
            <a:ext uri="{FF2B5EF4-FFF2-40B4-BE49-F238E27FC236}">
              <a16:creationId xmlns:a16="http://schemas.microsoft.com/office/drawing/2014/main" id="{4FAE2BB1-79EF-1085-F7EF-DBA7EC6CDA8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511769</xdr:colOff>
      <xdr:row>103</xdr:row>
      <xdr:rowOff>44824</xdr:rowOff>
    </xdr:from>
    <xdr:to>
      <xdr:col>10</xdr:col>
      <xdr:colOff>537882</xdr:colOff>
      <xdr:row>122</xdr:row>
      <xdr:rowOff>73734</xdr:rowOff>
    </xdr:to>
    <xdr:graphicFrame macro="">
      <xdr:nvGraphicFramePr>
        <xdr:cNvPr id="8" name="Chart 7">
          <a:extLst>
            <a:ext uri="{FF2B5EF4-FFF2-40B4-BE49-F238E27FC236}">
              <a16:creationId xmlns:a16="http://schemas.microsoft.com/office/drawing/2014/main" id="{2ABAAB1A-0660-8317-763E-C5851D81492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3</xdr:col>
      <xdr:colOff>190500</xdr:colOff>
      <xdr:row>40</xdr:row>
      <xdr:rowOff>32385</xdr:rowOff>
    </xdr:from>
    <xdr:to>
      <xdr:col>10</xdr:col>
      <xdr:colOff>76200</xdr:colOff>
      <xdr:row>46</xdr:row>
      <xdr:rowOff>55245</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3829050" y="7652385"/>
          <a:ext cx="5391150" cy="11658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 see where his</a:t>
          </a:r>
          <a:r>
            <a:rPr lang="en-US" sz="1100" baseline="0"/>
            <a:t> numbers come from. By switching the propulsive efficiency to 1.0, changing the battery capacity used to 1.0, and leaving the correction factor for drag and tip effects to .8 (the efficiency number he got overall), I get a number very close to his. His estimate was 5289 km.</a:t>
          </a:r>
          <a:endParaRPr lang="en-US" sz="1100"/>
        </a:p>
      </xdr:txBody>
    </xdr:sp>
    <xdr:clientData/>
  </xdr:twoCellAnchor>
  <xdr:twoCellAnchor editAs="oneCell">
    <xdr:from>
      <xdr:col>10</xdr:col>
      <xdr:colOff>514350</xdr:colOff>
      <xdr:row>7</xdr:row>
      <xdr:rowOff>180975</xdr:rowOff>
    </xdr:from>
    <xdr:to>
      <xdr:col>20</xdr:col>
      <xdr:colOff>295275</xdr:colOff>
      <xdr:row>45</xdr:row>
      <xdr:rowOff>19050</xdr:rowOff>
    </xdr:to>
    <xdr:pic>
      <xdr:nvPicPr>
        <xdr:cNvPr id="3" name="Picture 2">
          <a:extLst>
            <a:ext uri="{FF2B5EF4-FFF2-40B4-BE49-F238E27FC236}">
              <a16:creationId xmlns:a16="http://schemas.microsoft.com/office/drawing/2014/main" id="{48F14743-1912-03B6-0FD9-DD1F0E4134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8350" y="1514475"/>
          <a:ext cx="5876925" cy="7077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5A3C5-AD43-41EB-81BB-F08B048FF197}">
  <dimension ref="A1:N55"/>
  <sheetViews>
    <sheetView tabSelected="1" zoomScale="85" zoomScaleNormal="85" workbookViewId="0">
      <selection activeCell="F34" sqref="F34"/>
    </sheetView>
  </sheetViews>
  <sheetFormatPr defaultRowHeight="15" x14ac:dyDescent="0.25"/>
  <cols>
    <col min="1" max="1" width="37.7109375" bestFit="1" customWidth="1"/>
    <col min="2" max="2" width="11.5703125" bestFit="1" customWidth="1"/>
    <col min="4" max="4" width="10.5703125" bestFit="1" customWidth="1"/>
    <col min="9" max="9" width="27.7109375" customWidth="1"/>
  </cols>
  <sheetData>
    <row r="1" spans="1:14" x14ac:dyDescent="0.25">
      <c r="A1" t="s">
        <v>0</v>
      </c>
      <c r="B1" s="8">
        <v>10000</v>
      </c>
      <c r="C1" t="s">
        <v>1</v>
      </c>
      <c r="D1">
        <f>B1*2.2046</f>
        <v>22046</v>
      </c>
      <c r="E1" t="s">
        <v>9</v>
      </c>
    </row>
    <row r="2" spans="1:14" x14ac:dyDescent="0.25">
      <c r="A2" t="s">
        <v>2</v>
      </c>
      <c r="B2" s="8">
        <v>0.6</v>
      </c>
      <c r="C2" t="s">
        <v>3</v>
      </c>
      <c r="E2" t="s">
        <v>105</v>
      </c>
    </row>
    <row r="3" spans="1:14" x14ac:dyDescent="0.25">
      <c r="A3" t="s">
        <v>4</v>
      </c>
      <c r="B3" s="8">
        <f>0.2</f>
        <v>0.2</v>
      </c>
      <c r="C3" t="s">
        <v>3</v>
      </c>
      <c r="I3" t="s">
        <v>36</v>
      </c>
      <c r="J3">
        <f>B3*B1</f>
        <v>2000</v>
      </c>
      <c r="K3" t="s">
        <v>1</v>
      </c>
    </row>
    <row r="4" spans="1:14" x14ac:dyDescent="0.25">
      <c r="A4" t="s">
        <v>5</v>
      </c>
      <c r="B4" s="8">
        <v>0.2</v>
      </c>
      <c r="I4" t="s">
        <v>37</v>
      </c>
      <c r="J4">
        <f>L4/2.2046</f>
        <v>140.61507756509116</v>
      </c>
      <c r="K4" t="s">
        <v>1</v>
      </c>
      <c r="L4">
        <v>310</v>
      </c>
      <c r="M4" t="s">
        <v>34</v>
      </c>
      <c r="N4" s="1" t="s">
        <v>38</v>
      </c>
    </row>
    <row r="5" spans="1:14" x14ac:dyDescent="0.25">
      <c r="I5" t="s">
        <v>39</v>
      </c>
      <c r="J5">
        <v>2</v>
      </c>
      <c r="K5" t="s">
        <v>3</v>
      </c>
    </row>
    <row r="6" spans="1:14" x14ac:dyDescent="0.25">
      <c r="A6" t="s">
        <v>6</v>
      </c>
      <c r="B6" s="8">
        <v>250</v>
      </c>
      <c r="C6" t="s">
        <v>7</v>
      </c>
      <c r="I6" t="s">
        <v>41</v>
      </c>
      <c r="J6">
        <f>J3/J4-J5</f>
        <v>12.223225806451614</v>
      </c>
      <c r="K6" t="s">
        <v>3</v>
      </c>
    </row>
    <row r="7" spans="1:14" x14ac:dyDescent="0.25">
      <c r="A7" t="s">
        <v>8</v>
      </c>
      <c r="B7">
        <f>B1*B2</f>
        <v>6000</v>
      </c>
      <c r="C7" t="s">
        <v>1</v>
      </c>
      <c r="I7" t="s">
        <v>40</v>
      </c>
      <c r="J7">
        <f>TRUNC(J6)</f>
        <v>12</v>
      </c>
      <c r="K7" t="s">
        <v>3</v>
      </c>
    </row>
    <row r="8" spans="1:14" x14ac:dyDescent="0.25">
      <c r="A8" t="s">
        <v>45</v>
      </c>
      <c r="B8">
        <f>B6*B7</f>
        <v>1500000</v>
      </c>
      <c r="C8" t="s">
        <v>49</v>
      </c>
    </row>
    <row r="9" spans="1:14" x14ac:dyDescent="0.25">
      <c r="A9" t="s">
        <v>58</v>
      </c>
      <c r="B9" s="8">
        <v>0.8</v>
      </c>
      <c r="C9" t="s">
        <v>3</v>
      </c>
    </row>
    <row r="10" spans="1:14" x14ac:dyDescent="0.25">
      <c r="A10" t="s">
        <v>59</v>
      </c>
      <c r="B10">
        <f>B8*B9</f>
        <v>1200000</v>
      </c>
      <c r="C10" t="s">
        <v>49</v>
      </c>
      <c r="D10">
        <f>B10/1000</f>
        <v>1200</v>
      </c>
      <c r="E10" t="s">
        <v>47</v>
      </c>
    </row>
    <row r="12" spans="1:14" x14ac:dyDescent="0.25">
      <c r="A12" t="s">
        <v>10</v>
      </c>
      <c r="B12" s="8">
        <v>25</v>
      </c>
      <c r="C12" t="s">
        <v>3</v>
      </c>
    </row>
    <row r="13" spans="1:14" x14ac:dyDescent="0.25">
      <c r="A13" t="s">
        <v>11</v>
      </c>
      <c r="B13">
        <f>B1*9.81</f>
        <v>98100</v>
      </c>
      <c r="C13" t="s">
        <v>12</v>
      </c>
    </row>
    <row r="14" spans="1:14" x14ac:dyDescent="0.25">
      <c r="A14" t="s">
        <v>13</v>
      </c>
      <c r="B14">
        <f>B13/B12</f>
        <v>3924</v>
      </c>
      <c r="C14" t="s">
        <v>12</v>
      </c>
      <c r="D14">
        <f>B14/9.81</f>
        <v>400</v>
      </c>
      <c r="E14" t="s">
        <v>1</v>
      </c>
      <c r="F14">
        <f>D14*2.2046</f>
        <v>881.84</v>
      </c>
      <c r="G14" t="s">
        <v>34</v>
      </c>
    </row>
    <row r="15" spans="1:14" x14ac:dyDescent="0.25">
      <c r="A15" t="s">
        <v>115</v>
      </c>
      <c r="B15" s="8">
        <v>200</v>
      </c>
      <c r="C15" t="s">
        <v>14</v>
      </c>
      <c r="D15">
        <f>B15*2.23694</f>
        <v>447.38800000000003</v>
      </c>
      <c r="E15" t="s">
        <v>15</v>
      </c>
      <c r="F15">
        <f>B15/343</f>
        <v>0.58309037900874638</v>
      </c>
      <c r="G15" t="s">
        <v>104</v>
      </c>
    </row>
    <row r="16" spans="1:14" x14ac:dyDescent="0.25">
      <c r="A16" t="s">
        <v>113</v>
      </c>
      <c r="B16">
        <f>B15*B14</f>
        <v>784800</v>
      </c>
      <c r="C16" t="s">
        <v>16</v>
      </c>
      <c r="D16">
        <f>B16/1000</f>
        <v>784.8</v>
      </c>
      <c r="E16" t="s">
        <v>17</v>
      </c>
      <c r="F16" s="21">
        <f>D16*1.341</f>
        <v>1052.4168</v>
      </c>
      <c r="G16" t="s">
        <v>77</v>
      </c>
      <c r="H16" s="9" t="s">
        <v>78</v>
      </c>
    </row>
    <row r="17" spans="1:8" x14ac:dyDescent="0.25">
      <c r="A17" t="s">
        <v>91</v>
      </c>
      <c r="B17" s="8">
        <v>330</v>
      </c>
      <c r="C17" t="s">
        <v>14</v>
      </c>
      <c r="D17">
        <f>B17*2.24</f>
        <v>739.2</v>
      </c>
      <c r="E17" t="s">
        <v>15</v>
      </c>
      <c r="H17" t="s">
        <v>20</v>
      </c>
    </row>
    <row r="18" spans="1:8" x14ac:dyDescent="0.25">
      <c r="A18" t="s">
        <v>24</v>
      </c>
      <c r="B18">
        <f>B17-B15</f>
        <v>130</v>
      </c>
      <c r="C18" t="s">
        <v>14</v>
      </c>
    </row>
    <row r="19" spans="1:8" x14ac:dyDescent="0.25">
      <c r="A19" t="s">
        <v>21</v>
      </c>
      <c r="B19" s="8">
        <v>1.8409999999999999E-2</v>
      </c>
      <c r="C19" t="s">
        <v>31</v>
      </c>
      <c r="D19" s="14"/>
      <c r="E19" t="s">
        <v>90</v>
      </c>
    </row>
    <row r="20" spans="1:8" x14ac:dyDescent="0.25">
      <c r="A20" t="s">
        <v>26</v>
      </c>
      <c r="B20" s="8">
        <v>1.75</v>
      </c>
      <c r="C20" t="s">
        <v>22</v>
      </c>
    </row>
    <row r="21" spans="1:8" x14ac:dyDescent="0.25">
      <c r="A21" t="s">
        <v>53</v>
      </c>
      <c r="B21" s="8">
        <v>2</v>
      </c>
      <c r="C21" t="s">
        <v>3</v>
      </c>
    </row>
    <row r="22" spans="1:8" x14ac:dyDescent="0.25">
      <c r="A22" t="s">
        <v>27</v>
      </c>
      <c r="B22" s="19">
        <f>B21*PI()*(B20/2)^2</f>
        <v>4.8105637508093704</v>
      </c>
      <c r="C22" t="s">
        <v>28</v>
      </c>
    </row>
    <row r="23" spans="1:8" x14ac:dyDescent="0.25">
      <c r="A23" t="s">
        <v>23</v>
      </c>
      <c r="B23" s="19">
        <f>B22*B17</f>
        <v>1587.4860377670923</v>
      </c>
      <c r="C23" t="s">
        <v>29</v>
      </c>
    </row>
    <row r="24" spans="1:8" x14ac:dyDescent="0.25">
      <c r="A24" t="s">
        <v>30</v>
      </c>
      <c r="B24" s="19">
        <f>B23*B19</f>
        <v>29.225617955292169</v>
      </c>
      <c r="C24" t="s">
        <v>32</v>
      </c>
    </row>
    <row r="25" spans="1:8" x14ac:dyDescent="0.25">
      <c r="A25" t="s">
        <v>33</v>
      </c>
      <c r="B25" s="20">
        <f>B24*B18</f>
        <v>3799.3303341879819</v>
      </c>
      <c r="C25" t="s">
        <v>12</v>
      </c>
      <c r="D25">
        <f>B25/9.81</f>
        <v>387.29157331172087</v>
      </c>
      <c r="E25" t="s">
        <v>1</v>
      </c>
      <c r="F25">
        <f>D25*2.2046</f>
        <v>853.82300252301991</v>
      </c>
      <c r="G25" t="s">
        <v>34</v>
      </c>
    </row>
    <row r="26" spans="1:8" x14ac:dyDescent="0.25">
      <c r="A26" t="s">
        <v>52</v>
      </c>
      <c r="B26" s="6">
        <f>2/(1+(B17/B15))</f>
        <v>0.75471698113207553</v>
      </c>
      <c r="C26" t="s">
        <v>3</v>
      </c>
      <c r="E26" s="9" t="s">
        <v>107</v>
      </c>
    </row>
    <row r="27" spans="1:8" x14ac:dyDescent="0.25">
      <c r="A27" t="s">
        <v>42</v>
      </c>
      <c r="B27">
        <f>B16/B26</f>
        <v>1039859.9999999999</v>
      </c>
      <c r="C27" t="s">
        <v>16</v>
      </c>
      <c r="D27">
        <f>B27/1000</f>
        <v>1039.8599999999999</v>
      </c>
      <c r="E27" t="s">
        <v>17</v>
      </c>
    </row>
    <row r="28" spans="1:8" x14ac:dyDescent="0.25">
      <c r="A28" t="s">
        <v>43</v>
      </c>
      <c r="B28" s="8">
        <f>0.8</f>
        <v>0.8</v>
      </c>
      <c r="C28" t="s">
        <v>3</v>
      </c>
    </row>
    <row r="29" spans="1:8" x14ac:dyDescent="0.25">
      <c r="A29" t="s">
        <v>44</v>
      </c>
      <c r="B29">
        <f>B27/B28</f>
        <v>1299824.9999999998</v>
      </c>
      <c r="C29" t="s">
        <v>16</v>
      </c>
      <c r="D29">
        <f>B29/1000000</f>
        <v>1.2998249999999998</v>
      </c>
      <c r="E29" t="s">
        <v>108</v>
      </c>
    </row>
    <row r="30" spans="1:8" ht="15.75" thickBot="1" x14ac:dyDescent="0.3">
      <c r="A30" t="s">
        <v>54</v>
      </c>
      <c r="B30" s="5">
        <f>(F25/F14)-1</f>
        <v>-3.1771066720697738E-2</v>
      </c>
      <c r="C30" t="s">
        <v>3</v>
      </c>
    </row>
    <row r="31" spans="1:8" x14ac:dyDescent="0.25">
      <c r="A31" t="s">
        <v>46</v>
      </c>
      <c r="B31" s="17">
        <f>B10/B29</f>
        <v>0.92320120016156038</v>
      </c>
      <c r="C31" t="s">
        <v>48</v>
      </c>
    </row>
    <row r="32" spans="1:8" ht="15.75" thickBot="1" x14ac:dyDescent="0.3">
      <c r="A32" t="s">
        <v>50</v>
      </c>
      <c r="B32" s="18">
        <f>D15*B31</f>
        <v>413.02913853788021</v>
      </c>
      <c r="C32" t="s">
        <v>51</v>
      </c>
    </row>
    <row r="34" spans="1:3" x14ac:dyDescent="0.25">
      <c r="A34" t="s">
        <v>55</v>
      </c>
      <c r="B34" s="8">
        <v>0.23</v>
      </c>
      <c r="C34" t="s">
        <v>56</v>
      </c>
    </row>
    <row r="35" spans="1:3" x14ac:dyDescent="0.25">
      <c r="A35" t="s">
        <v>57</v>
      </c>
      <c r="B35">
        <f>D10*B34</f>
        <v>276</v>
      </c>
      <c r="C35" t="s">
        <v>60</v>
      </c>
    </row>
    <row r="36" spans="1:3" x14ac:dyDescent="0.25">
      <c r="A36" t="s">
        <v>61</v>
      </c>
      <c r="B36">
        <f>B35/B32</f>
        <v>0.66823372553577631</v>
      </c>
      <c r="C36" t="s">
        <v>62</v>
      </c>
    </row>
    <row r="37" spans="1:3" x14ac:dyDescent="0.25">
      <c r="A37" t="s">
        <v>64</v>
      </c>
      <c r="B37">
        <f>1/B36</f>
        <v>1.4964823860068124</v>
      </c>
      <c r="C37" t="s">
        <v>63</v>
      </c>
    </row>
    <row r="39" spans="1:3" x14ac:dyDescent="0.25">
      <c r="A39" s="11" t="s">
        <v>82</v>
      </c>
      <c r="B39" s="8">
        <v>100</v>
      </c>
      <c r="C39" t="s">
        <v>83</v>
      </c>
    </row>
    <row r="40" spans="1:3" x14ac:dyDescent="0.25">
      <c r="A40" t="s">
        <v>86</v>
      </c>
      <c r="B40" s="12">
        <f>B39*D10</f>
        <v>120000</v>
      </c>
    </row>
    <row r="41" spans="1:3" x14ac:dyDescent="0.25">
      <c r="A41" t="s">
        <v>84</v>
      </c>
      <c r="B41" s="8">
        <v>1000</v>
      </c>
      <c r="C41" t="s">
        <v>85</v>
      </c>
    </row>
    <row r="42" spans="1:3" x14ac:dyDescent="0.25">
      <c r="A42" t="s">
        <v>93</v>
      </c>
      <c r="B42" s="13">
        <f>B40/B41</f>
        <v>120</v>
      </c>
      <c r="C42" t="s">
        <v>89</v>
      </c>
    </row>
    <row r="43" spans="1:3" x14ac:dyDescent="0.25">
      <c r="A43" t="s">
        <v>92</v>
      </c>
      <c r="B43" s="13">
        <f>B42/B31</f>
        <v>129.98249999999999</v>
      </c>
      <c r="C43" t="s">
        <v>88</v>
      </c>
    </row>
    <row r="44" spans="1:3" x14ac:dyDescent="0.25">
      <c r="A44" t="s">
        <v>62</v>
      </c>
      <c r="B44" s="13">
        <f>B43/D15</f>
        <v>0.2905364024068593</v>
      </c>
      <c r="C44" t="s">
        <v>95</v>
      </c>
    </row>
    <row r="45" spans="1:3" x14ac:dyDescent="0.25">
      <c r="B45" s="13"/>
    </row>
    <row r="46" spans="1:3" x14ac:dyDescent="0.25">
      <c r="A46" s="11" t="s">
        <v>94</v>
      </c>
      <c r="B46" s="13"/>
    </row>
    <row r="47" spans="1:3" x14ac:dyDescent="0.25">
      <c r="A47" t="s">
        <v>96</v>
      </c>
      <c r="B47" s="13">
        <f>B44+B36</f>
        <v>0.95877012794263561</v>
      </c>
      <c r="C47" t="s">
        <v>97</v>
      </c>
    </row>
    <row r="48" spans="1:3" x14ac:dyDescent="0.25">
      <c r="B48" s="13"/>
    </row>
    <row r="50" spans="1:3" x14ac:dyDescent="0.25">
      <c r="A50" t="s">
        <v>70</v>
      </c>
      <c r="B50" t="s">
        <v>71</v>
      </c>
    </row>
    <row r="51" spans="1:3" x14ac:dyDescent="0.25">
      <c r="B51" t="s">
        <v>87</v>
      </c>
    </row>
    <row r="52" spans="1:3" x14ac:dyDescent="0.25">
      <c r="B52" t="s">
        <v>72</v>
      </c>
    </row>
    <row r="53" spans="1:3" x14ac:dyDescent="0.25">
      <c r="B53" t="s">
        <v>98</v>
      </c>
    </row>
    <row r="55" spans="1:3" x14ac:dyDescent="0.25">
      <c r="A55" t="s">
        <v>111</v>
      </c>
      <c r="B55" s="22">
        <f>J3*B32*D17/(B35*1000)</f>
        <v>2212.3995594724715</v>
      </c>
      <c r="C55" t="s">
        <v>112</v>
      </c>
    </row>
  </sheetData>
  <conditionalFormatting sqref="B30">
    <cfRule type="cellIs" dxfId="13" priority="1" operator="lessThan">
      <formula>-0.05</formula>
    </cfRule>
    <cfRule type="cellIs" dxfId="12" priority="2" operator="greaterThan">
      <formula>0.05</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5"/>
  <sheetViews>
    <sheetView zoomScale="85" zoomScaleNormal="85" workbookViewId="0">
      <selection activeCell="I22" sqref="I22"/>
    </sheetView>
  </sheetViews>
  <sheetFormatPr defaultRowHeight="15" x14ac:dyDescent="0.25"/>
  <cols>
    <col min="1" max="1" width="37.7109375" bestFit="1" customWidth="1"/>
    <col min="2" max="2" width="11.5703125" bestFit="1" customWidth="1"/>
    <col min="4" max="4" width="10.5703125" bestFit="1" customWidth="1"/>
    <col min="9" max="9" width="27.7109375" customWidth="1"/>
  </cols>
  <sheetData>
    <row r="1" spans="1:14" x14ac:dyDescent="0.25">
      <c r="A1" t="s">
        <v>0</v>
      </c>
      <c r="B1" s="8">
        <v>10000</v>
      </c>
      <c r="C1" t="s">
        <v>1</v>
      </c>
      <c r="D1">
        <f>B1*2.2046</f>
        <v>22046</v>
      </c>
      <c r="E1" t="s">
        <v>9</v>
      </c>
    </row>
    <row r="2" spans="1:14" x14ac:dyDescent="0.25">
      <c r="A2" t="s">
        <v>2</v>
      </c>
      <c r="B2" s="8">
        <v>0.6</v>
      </c>
      <c r="C2" t="s">
        <v>3</v>
      </c>
      <c r="E2" t="s">
        <v>105</v>
      </c>
    </row>
    <row r="3" spans="1:14" x14ac:dyDescent="0.25">
      <c r="A3" t="s">
        <v>4</v>
      </c>
      <c r="B3" s="8">
        <f>0.2</f>
        <v>0.2</v>
      </c>
      <c r="C3" t="s">
        <v>3</v>
      </c>
      <c r="I3" t="s">
        <v>36</v>
      </c>
      <c r="J3">
        <f>B3*B1</f>
        <v>2000</v>
      </c>
      <c r="K3" t="s">
        <v>1</v>
      </c>
    </row>
    <row r="4" spans="1:14" x14ac:dyDescent="0.25">
      <c r="A4" t="s">
        <v>5</v>
      </c>
      <c r="B4" s="8">
        <v>0.2</v>
      </c>
      <c r="I4" t="s">
        <v>37</v>
      </c>
      <c r="J4">
        <f>L4/2.2046</f>
        <v>140.61507756509116</v>
      </c>
      <c r="K4" t="s">
        <v>1</v>
      </c>
      <c r="L4">
        <v>310</v>
      </c>
      <c r="M4" t="s">
        <v>34</v>
      </c>
      <c r="N4" s="1" t="s">
        <v>38</v>
      </c>
    </row>
    <row r="5" spans="1:14" x14ac:dyDescent="0.25">
      <c r="I5" t="s">
        <v>39</v>
      </c>
      <c r="J5">
        <v>2</v>
      </c>
      <c r="K5" t="s">
        <v>3</v>
      </c>
    </row>
    <row r="6" spans="1:14" x14ac:dyDescent="0.25">
      <c r="A6" t="s">
        <v>6</v>
      </c>
      <c r="B6" s="8">
        <v>250</v>
      </c>
      <c r="C6" t="s">
        <v>7</v>
      </c>
      <c r="I6" t="s">
        <v>41</v>
      </c>
      <c r="J6">
        <f>J3/J4-J5</f>
        <v>12.223225806451614</v>
      </c>
      <c r="K6" t="s">
        <v>3</v>
      </c>
    </row>
    <row r="7" spans="1:14" x14ac:dyDescent="0.25">
      <c r="A7" t="s">
        <v>8</v>
      </c>
      <c r="B7">
        <f>B1*B2</f>
        <v>6000</v>
      </c>
      <c r="C7" t="s">
        <v>1</v>
      </c>
      <c r="I7" t="s">
        <v>40</v>
      </c>
      <c r="J7">
        <f>TRUNC(J6)</f>
        <v>12</v>
      </c>
      <c r="K7" t="s">
        <v>3</v>
      </c>
    </row>
    <row r="8" spans="1:14" x14ac:dyDescent="0.25">
      <c r="A8" t="s">
        <v>45</v>
      </c>
      <c r="B8">
        <f>B6*B7</f>
        <v>1500000</v>
      </c>
      <c r="C8" t="s">
        <v>49</v>
      </c>
    </row>
    <row r="9" spans="1:14" x14ac:dyDescent="0.25">
      <c r="A9" t="s">
        <v>58</v>
      </c>
      <c r="B9" s="8">
        <v>0.8</v>
      </c>
      <c r="C9" t="s">
        <v>3</v>
      </c>
    </row>
    <row r="10" spans="1:14" x14ac:dyDescent="0.25">
      <c r="A10" t="s">
        <v>59</v>
      </c>
      <c r="B10">
        <f>B8*B9</f>
        <v>1200000</v>
      </c>
      <c r="C10" t="s">
        <v>49</v>
      </c>
      <c r="D10">
        <f>B10/1000</f>
        <v>1200</v>
      </c>
      <c r="E10" t="s">
        <v>47</v>
      </c>
    </row>
    <row r="12" spans="1:14" x14ac:dyDescent="0.25">
      <c r="A12" t="s">
        <v>116</v>
      </c>
      <c r="B12" s="8">
        <v>25</v>
      </c>
      <c r="C12" t="s">
        <v>3</v>
      </c>
    </row>
    <row r="13" spans="1:14" x14ac:dyDescent="0.25">
      <c r="A13" t="s">
        <v>11</v>
      </c>
      <c r="B13">
        <f>B1*9.81</f>
        <v>98100</v>
      </c>
      <c r="C13" t="s">
        <v>12</v>
      </c>
    </row>
    <row r="14" spans="1:14" x14ac:dyDescent="0.25">
      <c r="A14" t="s">
        <v>13</v>
      </c>
      <c r="B14">
        <f>B13/B12</f>
        <v>3924</v>
      </c>
      <c r="C14" t="s">
        <v>12</v>
      </c>
      <c r="D14">
        <f>B14/9.81</f>
        <v>400</v>
      </c>
      <c r="E14" t="s">
        <v>1</v>
      </c>
      <c r="F14">
        <f>D14*2.2046</f>
        <v>881.84</v>
      </c>
      <c r="G14" t="s">
        <v>34</v>
      </c>
    </row>
    <row r="15" spans="1:14" x14ac:dyDescent="0.25">
      <c r="A15" t="s">
        <v>115</v>
      </c>
      <c r="B15" s="8">
        <v>200</v>
      </c>
      <c r="C15" t="s">
        <v>14</v>
      </c>
      <c r="D15">
        <f>B15*2.23694</f>
        <v>447.38800000000003</v>
      </c>
      <c r="E15" t="s">
        <v>15</v>
      </c>
      <c r="F15">
        <f>B15/343</f>
        <v>0.58309037900874638</v>
      </c>
      <c r="G15" t="s">
        <v>104</v>
      </c>
    </row>
    <row r="16" spans="1:14" x14ac:dyDescent="0.25">
      <c r="A16" t="s">
        <v>113</v>
      </c>
      <c r="B16">
        <f>B15*B14</f>
        <v>784800</v>
      </c>
      <c r="C16" t="s">
        <v>16</v>
      </c>
      <c r="D16">
        <f>B16/1000</f>
        <v>784.8</v>
      </c>
      <c r="E16" t="s">
        <v>17</v>
      </c>
      <c r="F16" s="21">
        <f>D16*1.341</f>
        <v>1052.4168</v>
      </c>
      <c r="G16" t="s">
        <v>77</v>
      </c>
      <c r="H16" s="9" t="s">
        <v>78</v>
      </c>
    </row>
    <row r="17" spans="1:8" x14ac:dyDescent="0.25">
      <c r="A17" t="s">
        <v>91</v>
      </c>
      <c r="B17" s="8">
        <v>227</v>
      </c>
      <c r="C17" t="s">
        <v>14</v>
      </c>
      <c r="D17">
        <f>B17*2.24</f>
        <v>508.48000000000008</v>
      </c>
      <c r="E17" t="s">
        <v>15</v>
      </c>
      <c r="H17" t="s">
        <v>20</v>
      </c>
    </row>
    <row r="18" spans="1:8" x14ac:dyDescent="0.25">
      <c r="A18" t="s">
        <v>24</v>
      </c>
      <c r="B18">
        <f>B17-B15</f>
        <v>27</v>
      </c>
      <c r="C18" t="s">
        <v>14</v>
      </c>
    </row>
    <row r="19" spans="1:8" x14ac:dyDescent="0.25">
      <c r="A19" t="s">
        <v>21</v>
      </c>
      <c r="B19" s="8">
        <v>0.1948</v>
      </c>
      <c r="C19" t="s">
        <v>31</v>
      </c>
      <c r="D19" s="14">
        <v>15000</v>
      </c>
      <c r="E19" t="s">
        <v>90</v>
      </c>
    </row>
    <row r="20" spans="1:8" x14ac:dyDescent="0.25">
      <c r="A20" t="s">
        <v>26</v>
      </c>
      <c r="B20" s="8">
        <v>2</v>
      </c>
      <c r="C20" t="s">
        <v>22</v>
      </c>
    </row>
    <row r="21" spans="1:8" x14ac:dyDescent="0.25">
      <c r="A21" t="s">
        <v>53</v>
      </c>
      <c r="B21" s="8">
        <v>1</v>
      </c>
      <c r="C21" t="s">
        <v>3</v>
      </c>
    </row>
    <row r="22" spans="1:8" x14ac:dyDescent="0.25">
      <c r="A22" t="s">
        <v>27</v>
      </c>
      <c r="B22" s="19">
        <f>B21*PI()*(B20/2)^2</f>
        <v>3.1415926535897931</v>
      </c>
      <c r="C22" t="s">
        <v>28</v>
      </c>
    </row>
    <row r="23" spans="1:8" x14ac:dyDescent="0.25">
      <c r="A23" t="s">
        <v>23</v>
      </c>
      <c r="B23" s="19">
        <f>B22*B17</f>
        <v>713.14153236488301</v>
      </c>
      <c r="C23" t="s">
        <v>29</v>
      </c>
    </row>
    <row r="24" spans="1:8" x14ac:dyDescent="0.25">
      <c r="A24" t="s">
        <v>30</v>
      </c>
      <c r="B24" s="19">
        <f>B23*B19</f>
        <v>138.91997050467921</v>
      </c>
      <c r="C24" t="s">
        <v>32</v>
      </c>
    </row>
    <row r="25" spans="1:8" x14ac:dyDescent="0.25">
      <c r="A25" t="s">
        <v>33</v>
      </c>
      <c r="B25" s="20">
        <f>B24*B18</f>
        <v>3750.8392036263385</v>
      </c>
      <c r="C25" t="s">
        <v>12</v>
      </c>
      <c r="D25" s="19">
        <f>B25/9.81</f>
        <v>382.34854267342899</v>
      </c>
      <c r="E25" t="s">
        <v>1</v>
      </c>
      <c r="F25" s="19">
        <f>D25*2.2046</f>
        <v>842.92559717784161</v>
      </c>
      <c r="G25" t="s">
        <v>34</v>
      </c>
    </row>
    <row r="26" spans="1:8" x14ac:dyDescent="0.25">
      <c r="A26" t="s">
        <v>52</v>
      </c>
      <c r="B26" s="6">
        <f>2/(1+(B17/B15))</f>
        <v>0.93676814988290402</v>
      </c>
      <c r="C26" t="s">
        <v>3</v>
      </c>
      <c r="E26" s="9" t="s">
        <v>107</v>
      </c>
    </row>
    <row r="27" spans="1:8" x14ac:dyDescent="0.25">
      <c r="A27" t="s">
        <v>42</v>
      </c>
      <c r="B27">
        <f>B16/B26</f>
        <v>837774</v>
      </c>
      <c r="C27" t="s">
        <v>16</v>
      </c>
      <c r="D27">
        <f>B27/1000</f>
        <v>837.774</v>
      </c>
      <c r="E27" t="s">
        <v>17</v>
      </c>
    </row>
    <row r="28" spans="1:8" x14ac:dyDescent="0.25">
      <c r="A28" t="s">
        <v>43</v>
      </c>
      <c r="B28" s="8">
        <f>0.8</f>
        <v>0.8</v>
      </c>
      <c r="C28" t="s">
        <v>3</v>
      </c>
    </row>
    <row r="29" spans="1:8" x14ac:dyDescent="0.25">
      <c r="A29" t="s">
        <v>44</v>
      </c>
      <c r="B29">
        <f>B27/B28</f>
        <v>1047217.5</v>
      </c>
      <c r="C29" t="s">
        <v>16</v>
      </c>
      <c r="D29">
        <f>B29/1000000</f>
        <v>1.0472174999999999</v>
      </c>
      <c r="E29" t="s">
        <v>108</v>
      </c>
    </row>
    <row r="30" spans="1:8" ht="15.75" thickBot="1" x14ac:dyDescent="0.3">
      <c r="A30" t="s">
        <v>54</v>
      </c>
      <c r="B30" s="5">
        <f>(F25/F14)-1</f>
        <v>-4.4128643316427518E-2</v>
      </c>
      <c r="C30" t="s">
        <v>3</v>
      </c>
    </row>
    <row r="31" spans="1:8" x14ac:dyDescent="0.25">
      <c r="A31" t="s">
        <v>118</v>
      </c>
      <c r="B31" s="17">
        <f>B10/B29</f>
        <v>1.1458937613246531</v>
      </c>
      <c r="C31" t="s">
        <v>48</v>
      </c>
    </row>
    <row r="32" spans="1:8" ht="15.75" thickBot="1" x14ac:dyDescent="0.3">
      <c r="A32" t="s">
        <v>117</v>
      </c>
      <c r="B32" s="18">
        <f>D15*B31</f>
        <v>512.65911809151396</v>
      </c>
      <c r="C32" t="s">
        <v>51</v>
      </c>
    </row>
    <row r="34" spans="1:3" x14ac:dyDescent="0.25">
      <c r="A34" t="s">
        <v>55</v>
      </c>
      <c r="B34" s="8">
        <v>0.23</v>
      </c>
      <c r="C34" t="s">
        <v>56</v>
      </c>
    </row>
    <row r="35" spans="1:3" x14ac:dyDescent="0.25">
      <c r="A35" t="s">
        <v>57</v>
      </c>
      <c r="B35">
        <f>D10*B34</f>
        <v>276</v>
      </c>
      <c r="C35" t="s">
        <v>60</v>
      </c>
    </row>
    <row r="36" spans="1:3" x14ac:dyDescent="0.25">
      <c r="A36" t="s">
        <v>61</v>
      </c>
      <c r="B36">
        <f>B35/B32</f>
        <v>0.53836943547882377</v>
      </c>
      <c r="C36" t="s">
        <v>62</v>
      </c>
    </row>
    <row r="37" spans="1:3" x14ac:dyDescent="0.25">
      <c r="A37" t="s">
        <v>64</v>
      </c>
      <c r="B37">
        <f>1/B36</f>
        <v>1.8574605727953404</v>
      </c>
      <c r="C37" t="s">
        <v>63</v>
      </c>
    </row>
    <row r="39" spans="1:3" x14ac:dyDescent="0.25">
      <c r="A39" s="11" t="s">
        <v>82</v>
      </c>
      <c r="B39" s="8">
        <v>100</v>
      </c>
      <c r="C39" t="s">
        <v>83</v>
      </c>
    </row>
    <row r="40" spans="1:3" x14ac:dyDescent="0.25">
      <c r="A40" t="s">
        <v>86</v>
      </c>
      <c r="B40" s="12">
        <f>B39*D10</f>
        <v>120000</v>
      </c>
    </row>
    <row r="41" spans="1:3" x14ac:dyDescent="0.25">
      <c r="A41" t="s">
        <v>84</v>
      </c>
      <c r="B41" s="8">
        <v>1000</v>
      </c>
      <c r="C41" t="s">
        <v>85</v>
      </c>
    </row>
    <row r="42" spans="1:3" x14ac:dyDescent="0.25">
      <c r="A42" t="s">
        <v>93</v>
      </c>
      <c r="B42" s="13">
        <f>B40/B41</f>
        <v>120</v>
      </c>
      <c r="C42" t="s">
        <v>89</v>
      </c>
    </row>
    <row r="43" spans="1:3" x14ac:dyDescent="0.25">
      <c r="A43" t="s">
        <v>92</v>
      </c>
      <c r="B43" s="13">
        <f>B42/B31</f>
        <v>104.72175</v>
      </c>
      <c r="C43" t="s">
        <v>88</v>
      </c>
    </row>
    <row r="44" spans="1:3" x14ac:dyDescent="0.25">
      <c r="A44" t="s">
        <v>62</v>
      </c>
      <c r="B44" s="13">
        <f>B43/D15</f>
        <v>0.23407366759948858</v>
      </c>
      <c r="C44" t="s">
        <v>95</v>
      </c>
    </row>
    <row r="45" spans="1:3" x14ac:dyDescent="0.25">
      <c r="B45" s="13"/>
    </row>
    <row r="46" spans="1:3" x14ac:dyDescent="0.25">
      <c r="A46" s="11" t="s">
        <v>94</v>
      </c>
      <c r="B46" s="13"/>
    </row>
    <row r="47" spans="1:3" x14ac:dyDescent="0.25">
      <c r="A47" t="s">
        <v>96</v>
      </c>
      <c r="B47" s="13">
        <f>B44+B36</f>
        <v>0.77244310307831232</v>
      </c>
      <c r="C47" t="s">
        <v>97</v>
      </c>
    </row>
    <row r="48" spans="1:3" x14ac:dyDescent="0.25">
      <c r="B48" s="13"/>
    </row>
    <row r="50" spans="1:3" x14ac:dyDescent="0.25">
      <c r="A50" t="s">
        <v>70</v>
      </c>
      <c r="B50" t="s">
        <v>71</v>
      </c>
    </row>
    <row r="51" spans="1:3" x14ac:dyDescent="0.25">
      <c r="B51" t="s">
        <v>87</v>
      </c>
    </row>
    <row r="52" spans="1:3" x14ac:dyDescent="0.25">
      <c r="B52" t="s">
        <v>72</v>
      </c>
    </row>
    <row r="53" spans="1:3" x14ac:dyDescent="0.25">
      <c r="B53" t="s">
        <v>98</v>
      </c>
    </row>
    <row r="55" spans="1:3" x14ac:dyDescent="0.25">
      <c r="A55" t="s">
        <v>111</v>
      </c>
      <c r="B55" s="22">
        <f>J3*B32*D17/(B35*1000)</f>
        <v>1888.9631041099499</v>
      </c>
      <c r="C55" t="s">
        <v>112</v>
      </c>
    </row>
  </sheetData>
  <conditionalFormatting sqref="B30">
    <cfRule type="cellIs" dxfId="11" priority="1" operator="lessThan">
      <formula>-0.05</formula>
    </cfRule>
    <cfRule type="cellIs" dxfId="10" priority="2" operator="greaterThan">
      <formula>0.05</formula>
    </cfRule>
  </conditionalFormatting>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02E06-D482-4DB5-A873-3D3FF58500A8}">
  <dimension ref="A1:N56"/>
  <sheetViews>
    <sheetView zoomScale="85" zoomScaleNormal="85" workbookViewId="0">
      <selection activeCell="L34" sqref="L34"/>
    </sheetView>
  </sheetViews>
  <sheetFormatPr defaultRowHeight="15" x14ac:dyDescent="0.25"/>
  <cols>
    <col min="1" max="1" width="37.7109375" bestFit="1" customWidth="1"/>
    <col min="2" max="2" width="11.5703125" bestFit="1" customWidth="1"/>
    <col min="4" max="4" width="10.5703125" bestFit="1" customWidth="1"/>
    <col min="9" max="9" width="27.7109375" customWidth="1"/>
  </cols>
  <sheetData>
    <row r="1" spans="1:14" x14ac:dyDescent="0.25">
      <c r="A1" t="s">
        <v>0</v>
      </c>
      <c r="B1" s="8">
        <v>10000</v>
      </c>
      <c r="C1" t="s">
        <v>1</v>
      </c>
      <c r="D1">
        <f>B1*2.2046</f>
        <v>22046</v>
      </c>
      <c r="E1" t="s">
        <v>9</v>
      </c>
    </row>
    <row r="2" spans="1:14" x14ac:dyDescent="0.25">
      <c r="A2" t="s">
        <v>2</v>
      </c>
      <c r="B2" s="8">
        <v>0.6</v>
      </c>
      <c r="C2" t="s">
        <v>3</v>
      </c>
      <c r="E2" t="s">
        <v>105</v>
      </c>
    </row>
    <row r="3" spans="1:14" x14ac:dyDescent="0.25">
      <c r="A3" t="s">
        <v>4</v>
      </c>
      <c r="B3" s="8">
        <f>0.2</f>
        <v>0.2</v>
      </c>
      <c r="C3" t="s">
        <v>3</v>
      </c>
      <c r="I3" t="s">
        <v>36</v>
      </c>
      <c r="J3">
        <f>B3*B1</f>
        <v>2000</v>
      </c>
      <c r="K3" t="s">
        <v>1</v>
      </c>
    </row>
    <row r="4" spans="1:14" x14ac:dyDescent="0.25">
      <c r="A4" t="s">
        <v>5</v>
      </c>
      <c r="B4" s="8">
        <v>0.2</v>
      </c>
      <c r="I4" t="s">
        <v>37</v>
      </c>
      <c r="J4">
        <f>L4/2.2046</f>
        <v>140.61507756509116</v>
      </c>
      <c r="K4" t="s">
        <v>1</v>
      </c>
      <c r="L4">
        <v>310</v>
      </c>
      <c r="M4" t="s">
        <v>34</v>
      </c>
      <c r="N4" s="1"/>
    </row>
    <row r="5" spans="1:14" x14ac:dyDescent="0.25">
      <c r="I5" t="s">
        <v>39</v>
      </c>
      <c r="J5">
        <v>2</v>
      </c>
      <c r="K5" t="s">
        <v>3</v>
      </c>
    </row>
    <row r="6" spans="1:14" x14ac:dyDescent="0.25">
      <c r="A6" t="s">
        <v>6</v>
      </c>
      <c r="B6" s="8">
        <v>250</v>
      </c>
      <c r="C6" t="s">
        <v>7</v>
      </c>
      <c r="I6" t="s">
        <v>41</v>
      </c>
      <c r="J6">
        <f>J3/J4-J5</f>
        <v>12.223225806451614</v>
      </c>
      <c r="K6" t="s">
        <v>3</v>
      </c>
    </row>
    <row r="7" spans="1:14" x14ac:dyDescent="0.25">
      <c r="A7" t="s">
        <v>8</v>
      </c>
      <c r="B7">
        <f>B1*B2</f>
        <v>6000</v>
      </c>
      <c r="C7" t="s">
        <v>1</v>
      </c>
      <c r="I7" t="s">
        <v>40</v>
      </c>
      <c r="J7">
        <f>TRUNC(J6)</f>
        <v>12</v>
      </c>
      <c r="K7" t="s">
        <v>3</v>
      </c>
    </row>
    <row r="8" spans="1:14" x14ac:dyDescent="0.25">
      <c r="A8" t="s">
        <v>45</v>
      </c>
      <c r="B8">
        <f>B6*B7</f>
        <v>1500000</v>
      </c>
      <c r="C8" t="s">
        <v>49</v>
      </c>
    </row>
    <row r="9" spans="1:14" x14ac:dyDescent="0.25">
      <c r="A9" t="s">
        <v>58</v>
      </c>
      <c r="B9" s="8">
        <v>0.8</v>
      </c>
      <c r="C9" t="s">
        <v>3</v>
      </c>
    </row>
    <row r="10" spans="1:14" x14ac:dyDescent="0.25">
      <c r="A10" t="s">
        <v>59</v>
      </c>
      <c r="B10">
        <f>B8*B9</f>
        <v>1200000</v>
      </c>
      <c r="C10" t="s">
        <v>49</v>
      </c>
      <c r="D10">
        <f>B10/1000</f>
        <v>1200</v>
      </c>
      <c r="E10" t="s">
        <v>47</v>
      </c>
    </row>
    <row r="12" spans="1:14" x14ac:dyDescent="0.25">
      <c r="A12" t="s">
        <v>116</v>
      </c>
      <c r="B12" s="8">
        <v>25</v>
      </c>
      <c r="C12" t="s">
        <v>3</v>
      </c>
    </row>
    <row r="13" spans="1:14" x14ac:dyDescent="0.25">
      <c r="A13" t="s">
        <v>11</v>
      </c>
      <c r="B13">
        <f>B1*9.81</f>
        <v>98100</v>
      </c>
      <c r="C13" t="s">
        <v>12</v>
      </c>
    </row>
    <row r="14" spans="1:14" x14ac:dyDescent="0.25">
      <c r="A14" t="s">
        <v>13</v>
      </c>
      <c r="B14">
        <f>B13/B12</f>
        <v>3924</v>
      </c>
      <c r="C14" t="s">
        <v>12</v>
      </c>
      <c r="D14">
        <f>B14/9.81</f>
        <v>400</v>
      </c>
      <c r="E14" t="s">
        <v>1</v>
      </c>
      <c r="F14">
        <f>D14*2.2046</f>
        <v>881.84</v>
      </c>
      <c r="G14" t="s">
        <v>34</v>
      </c>
    </row>
    <row r="15" spans="1:14" x14ac:dyDescent="0.25">
      <c r="A15" t="s">
        <v>115</v>
      </c>
      <c r="B15" s="8">
        <v>100</v>
      </c>
      <c r="C15" t="s">
        <v>14</v>
      </c>
      <c r="D15">
        <f>B15*2.23694</f>
        <v>223.69400000000002</v>
      </c>
      <c r="E15" t="s">
        <v>15</v>
      </c>
      <c r="F15">
        <f>B15/343</f>
        <v>0.29154518950437319</v>
      </c>
      <c r="G15" t="s">
        <v>104</v>
      </c>
    </row>
    <row r="16" spans="1:14" x14ac:dyDescent="0.25">
      <c r="A16" t="s">
        <v>113</v>
      </c>
      <c r="B16">
        <f>B15*B14</f>
        <v>392400</v>
      </c>
      <c r="C16" t="s">
        <v>16</v>
      </c>
      <c r="D16">
        <f>B16/1000</f>
        <v>392.4</v>
      </c>
      <c r="E16" t="s">
        <v>17</v>
      </c>
      <c r="F16" s="21">
        <f>D16*1.341</f>
        <v>526.20839999999998</v>
      </c>
      <c r="G16" t="s">
        <v>77</v>
      </c>
      <c r="H16" s="9" t="s">
        <v>78</v>
      </c>
    </row>
    <row r="17" spans="1:8" x14ac:dyDescent="0.25">
      <c r="A17" t="s">
        <v>91</v>
      </c>
      <c r="B17" s="8">
        <v>227</v>
      </c>
      <c r="C17" t="s">
        <v>14</v>
      </c>
      <c r="D17">
        <f>B17*2.24</f>
        <v>508.48000000000008</v>
      </c>
      <c r="E17" t="s">
        <v>15</v>
      </c>
      <c r="H17" t="s">
        <v>20</v>
      </c>
    </row>
    <row r="18" spans="1:8" x14ac:dyDescent="0.25">
      <c r="A18" t="s">
        <v>24</v>
      </c>
      <c r="B18">
        <f>B17-B15</f>
        <v>127</v>
      </c>
      <c r="C18" t="s">
        <v>14</v>
      </c>
    </row>
    <row r="19" spans="1:8" x14ac:dyDescent="0.25">
      <c r="A19" t="s">
        <v>21</v>
      </c>
      <c r="B19" s="8">
        <v>0.1948</v>
      </c>
      <c r="C19" t="s">
        <v>31</v>
      </c>
      <c r="D19" s="14">
        <v>15000</v>
      </c>
      <c r="E19" t="s">
        <v>90</v>
      </c>
    </row>
    <row r="20" spans="1:8" x14ac:dyDescent="0.25">
      <c r="A20" t="s">
        <v>26</v>
      </c>
      <c r="B20" s="8">
        <v>2</v>
      </c>
      <c r="C20" t="s">
        <v>22</v>
      </c>
    </row>
    <row r="21" spans="1:8" x14ac:dyDescent="0.25">
      <c r="A21" t="s">
        <v>53</v>
      </c>
      <c r="B21" s="8">
        <v>1</v>
      </c>
      <c r="C21" t="s">
        <v>3</v>
      </c>
    </row>
    <row r="22" spans="1:8" x14ac:dyDescent="0.25">
      <c r="A22" t="s">
        <v>27</v>
      </c>
      <c r="B22" s="19">
        <f>B21*PI()*(B20/2)^2</f>
        <v>3.1415926535897931</v>
      </c>
      <c r="C22" t="s">
        <v>28</v>
      </c>
    </row>
    <row r="23" spans="1:8" x14ac:dyDescent="0.25">
      <c r="A23" t="s">
        <v>23</v>
      </c>
      <c r="B23" s="19">
        <f>B22*B17</f>
        <v>713.14153236488301</v>
      </c>
      <c r="C23" t="s">
        <v>29</v>
      </c>
    </row>
    <row r="24" spans="1:8" x14ac:dyDescent="0.25">
      <c r="A24" t="s">
        <v>30</v>
      </c>
      <c r="B24" s="19">
        <f>B23*B19</f>
        <v>138.91997050467921</v>
      </c>
      <c r="C24" t="s">
        <v>32</v>
      </c>
    </row>
    <row r="25" spans="1:8" x14ac:dyDescent="0.25">
      <c r="A25" t="s">
        <v>33</v>
      </c>
      <c r="B25" s="20">
        <f>B24*B18</f>
        <v>17642.836254094262</v>
      </c>
      <c r="C25" t="s">
        <v>12</v>
      </c>
      <c r="D25" s="19">
        <f>B25/9.81</f>
        <v>1798.4542562787217</v>
      </c>
      <c r="E25" t="s">
        <v>1</v>
      </c>
      <c r="F25" s="19">
        <f>D25*2.2046</f>
        <v>3964.87225339207</v>
      </c>
      <c r="G25" t="s">
        <v>34</v>
      </c>
    </row>
    <row r="26" spans="1:8" x14ac:dyDescent="0.25">
      <c r="A26" t="s">
        <v>52</v>
      </c>
      <c r="B26" s="6">
        <f>2/(1+(B17/B15))</f>
        <v>0.6116207951070336</v>
      </c>
      <c r="C26" t="s">
        <v>3</v>
      </c>
      <c r="E26" s="9" t="s">
        <v>107</v>
      </c>
    </row>
    <row r="27" spans="1:8" x14ac:dyDescent="0.25">
      <c r="A27" t="s">
        <v>42</v>
      </c>
      <c r="B27">
        <f>B16/B26</f>
        <v>641574</v>
      </c>
      <c r="C27" t="s">
        <v>16</v>
      </c>
      <c r="D27">
        <f>B27/1000</f>
        <v>641.57399999999996</v>
      </c>
      <c r="E27" t="s">
        <v>17</v>
      </c>
    </row>
    <row r="28" spans="1:8" x14ac:dyDescent="0.25">
      <c r="A28" t="s">
        <v>43</v>
      </c>
      <c r="B28" s="8">
        <f>0.8</f>
        <v>0.8</v>
      </c>
      <c r="C28" t="s">
        <v>3</v>
      </c>
    </row>
    <row r="29" spans="1:8" x14ac:dyDescent="0.25">
      <c r="A29" t="s">
        <v>44</v>
      </c>
      <c r="B29">
        <f>B27/B28</f>
        <v>801967.5</v>
      </c>
      <c r="C29" t="s">
        <v>16</v>
      </c>
      <c r="D29">
        <f>B29/1000000</f>
        <v>0.80196750000000006</v>
      </c>
      <c r="E29" t="s">
        <v>108</v>
      </c>
    </row>
    <row r="30" spans="1:8" ht="15.75" thickBot="1" x14ac:dyDescent="0.3">
      <c r="A30" t="s">
        <v>54</v>
      </c>
      <c r="B30" s="5">
        <f>(F25/F14)-1</f>
        <v>3.4961356406968038</v>
      </c>
      <c r="C30" t="s">
        <v>3</v>
      </c>
    </row>
    <row r="31" spans="1:8" x14ac:dyDescent="0.25">
      <c r="A31" t="s">
        <v>118</v>
      </c>
      <c r="B31" s="17">
        <f>B10/B29</f>
        <v>1.49631998802944</v>
      </c>
      <c r="C31" t="s">
        <v>48</v>
      </c>
    </row>
    <row r="32" spans="1:8" ht="15.75" thickBot="1" x14ac:dyDescent="0.3">
      <c r="A32" t="s">
        <v>117</v>
      </c>
      <c r="B32" s="18">
        <f>D15*B31</f>
        <v>334.71780340225757</v>
      </c>
      <c r="C32" t="s">
        <v>51</v>
      </c>
    </row>
    <row r="34" spans="1:3" x14ac:dyDescent="0.25">
      <c r="A34" t="s">
        <v>55</v>
      </c>
      <c r="B34" s="8">
        <v>0.23</v>
      </c>
      <c r="C34" t="s">
        <v>56</v>
      </c>
    </row>
    <row r="35" spans="1:3" x14ac:dyDescent="0.25">
      <c r="A35" t="s">
        <v>57</v>
      </c>
      <c r="B35">
        <f>D10*B34</f>
        <v>276</v>
      </c>
      <c r="C35" t="s">
        <v>60</v>
      </c>
    </row>
    <row r="36" spans="1:3" x14ac:dyDescent="0.25">
      <c r="A36" t="s">
        <v>61</v>
      </c>
      <c r="B36">
        <f>B35/B32</f>
        <v>0.82457520094414694</v>
      </c>
      <c r="C36" t="s">
        <v>62</v>
      </c>
    </row>
    <row r="37" spans="1:3" x14ac:dyDescent="0.25">
      <c r="A37" t="s">
        <v>64</v>
      </c>
      <c r="B37">
        <f>1/B36</f>
        <v>1.2127456645009331</v>
      </c>
      <c r="C37" t="s">
        <v>63</v>
      </c>
    </row>
    <row r="38" spans="1:3" x14ac:dyDescent="0.25">
      <c r="A38" t="s">
        <v>230</v>
      </c>
      <c r="B38" s="19">
        <f>B35/B31</f>
        <v>184.45252500000001</v>
      </c>
      <c r="C38" t="s">
        <v>88</v>
      </c>
    </row>
    <row r="40" spans="1:3" x14ac:dyDescent="0.25">
      <c r="A40" s="11" t="s">
        <v>82</v>
      </c>
      <c r="B40" s="8">
        <v>100</v>
      </c>
      <c r="C40" t="s">
        <v>83</v>
      </c>
    </row>
    <row r="41" spans="1:3" x14ac:dyDescent="0.25">
      <c r="A41" t="s">
        <v>86</v>
      </c>
      <c r="B41" s="12">
        <f>B40*D10</f>
        <v>120000</v>
      </c>
    </row>
    <row r="42" spans="1:3" x14ac:dyDescent="0.25">
      <c r="A42" t="s">
        <v>84</v>
      </c>
      <c r="B42" s="8">
        <v>1000</v>
      </c>
      <c r="C42" t="s">
        <v>85</v>
      </c>
    </row>
    <row r="43" spans="1:3" x14ac:dyDescent="0.25">
      <c r="A43" t="s">
        <v>93</v>
      </c>
      <c r="B43" s="13">
        <f>B41/B42</f>
        <v>120</v>
      </c>
      <c r="C43" t="s">
        <v>89</v>
      </c>
    </row>
    <row r="44" spans="1:3" x14ac:dyDescent="0.25">
      <c r="A44" t="s">
        <v>92</v>
      </c>
      <c r="B44" s="13">
        <f>B43/B31</f>
        <v>80.196750000000009</v>
      </c>
      <c r="C44" t="s">
        <v>88</v>
      </c>
    </row>
    <row r="45" spans="1:3" x14ac:dyDescent="0.25">
      <c r="A45" t="s">
        <v>62</v>
      </c>
      <c r="B45" s="13">
        <f>B44/D15</f>
        <v>0.35851095693223778</v>
      </c>
      <c r="C45" t="s">
        <v>95</v>
      </c>
    </row>
    <row r="46" spans="1:3" x14ac:dyDescent="0.25">
      <c r="B46" s="13"/>
    </row>
    <row r="47" spans="1:3" x14ac:dyDescent="0.25">
      <c r="A47" s="11" t="s">
        <v>94</v>
      </c>
      <c r="B47" s="13"/>
    </row>
    <row r="48" spans="1:3" x14ac:dyDescent="0.25">
      <c r="A48" t="s">
        <v>96</v>
      </c>
      <c r="B48" s="13">
        <f>B45+B36</f>
        <v>1.1830861578763847</v>
      </c>
      <c r="C48" t="s">
        <v>97</v>
      </c>
    </row>
    <row r="49" spans="1:3" x14ac:dyDescent="0.25">
      <c r="B49" s="13"/>
    </row>
    <row r="51" spans="1:3" x14ac:dyDescent="0.25">
      <c r="A51" t="s">
        <v>70</v>
      </c>
      <c r="B51" t="s">
        <v>71</v>
      </c>
    </row>
    <row r="52" spans="1:3" x14ac:dyDescent="0.25">
      <c r="B52" t="s">
        <v>87</v>
      </c>
    </row>
    <row r="53" spans="1:3" x14ac:dyDescent="0.25">
      <c r="B53" t="s">
        <v>72</v>
      </c>
    </row>
    <row r="54" spans="1:3" x14ac:dyDescent="0.25">
      <c r="B54" t="s">
        <v>98</v>
      </c>
    </row>
    <row r="56" spans="1:3" x14ac:dyDescent="0.25">
      <c r="A56" t="s">
        <v>111</v>
      </c>
      <c r="B56" s="22">
        <f>J3*B32*D17/(B35*1000)</f>
        <v>1233.313830970869</v>
      </c>
      <c r="C56" t="s">
        <v>112</v>
      </c>
    </row>
  </sheetData>
  <conditionalFormatting sqref="B30">
    <cfRule type="cellIs" dxfId="9" priority="1" operator="lessThan">
      <formula>-0.05</formula>
    </cfRule>
    <cfRule type="cellIs" dxfId="8" priority="2" operator="greaterThan">
      <formula>0.05</formula>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P220"/>
  <sheetViews>
    <sheetView zoomScale="85" zoomScaleNormal="85" workbookViewId="0">
      <selection activeCell="K153" sqref="K153"/>
    </sheetView>
  </sheetViews>
  <sheetFormatPr defaultRowHeight="15" x14ac:dyDescent="0.25"/>
  <cols>
    <col min="1" max="1" width="37.7109375" bestFit="1" customWidth="1"/>
    <col min="2" max="2" width="11.42578125" customWidth="1"/>
    <col min="3" max="3" width="18.28515625" customWidth="1"/>
    <col min="4" max="4" width="15.42578125" customWidth="1"/>
    <col min="5" max="5" width="9.140625" customWidth="1"/>
    <col min="6" max="6" width="5.7109375" customWidth="1"/>
    <col min="7" max="7" width="9.7109375" bestFit="1" customWidth="1"/>
    <col min="8" max="8" width="15.7109375" customWidth="1"/>
    <col min="9" max="9" width="15" customWidth="1"/>
    <col min="11" max="11" width="11" customWidth="1"/>
  </cols>
  <sheetData>
    <row r="2" spans="1:15" x14ac:dyDescent="0.25">
      <c r="A2" t="s">
        <v>74</v>
      </c>
      <c r="B2" s="6">
        <f>D2/2.2046</f>
        <v>195.04672049351356</v>
      </c>
      <c r="C2" t="s">
        <v>1</v>
      </c>
      <c r="D2" s="8">
        <v>430</v>
      </c>
      <c r="E2" t="s">
        <v>73</v>
      </c>
    </row>
    <row r="3" spans="1:15" x14ac:dyDescent="0.25">
      <c r="D3" s="19">
        <f>B6*2.2046</f>
        <v>1869.5652173913045</v>
      </c>
      <c r="E3" t="s">
        <v>9</v>
      </c>
    </row>
    <row r="4" spans="1:15" x14ac:dyDescent="0.25">
      <c r="A4" t="s">
        <v>2</v>
      </c>
      <c r="B4" s="8">
        <v>0.5</v>
      </c>
      <c r="C4" t="s">
        <v>3</v>
      </c>
      <c r="D4" s="19">
        <f>D6*B4</f>
        <v>934.78260869565224</v>
      </c>
      <c r="E4" t="s">
        <v>73</v>
      </c>
    </row>
    <row r="5" spans="1:15" x14ac:dyDescent="0.25">
      <c r="A5" t="s">
        <v>75</v>
      </c>
      <c r="B5" s="8">
        <v>0.23</v>
      </c>
      <c r="C5" t="s">
        <v>3</v>
      </c>
    </row>
    <row r="6" spans="1:15" x14ac:dyDescent="0.25">
      <c r="A6" t="s">
        <v>76</v>
      </c>
      <c r="B6" s="6">
        <f>B2/B5</f>
        <v>848.02921953701548</v>
      </c>
      <c r="C6" t="s">
        <v>1</v>
      </c>
      <c r="D6" s="19">
        <f>B6*2.2046</f>
        <v>1869.5652173913045</v>
      </c>
      <c r="E6" t="s">
        <v>73</v>
      </c>
    </row>
    <row r="7" spans="1:15" x14ac:dyDescent="0.25">
      <c r="A7" t="s">
        <v>5</v>
      </c>
      <c r="B7" s="8">
        <v>0.27</v>
      </c>
      <c r="D7" s="19">
        <f>B7*D6</f>
        <v>504.78260869565224</v>
      </c>
      <c r="E7" t="s">
        <v>73</v>
      </c>
      <c r="O7" s="1"/>
    </row>
    <row r="8" spans="1:15" x14ac:dyDescent="0.25">
      <c r="A8" t="s">
        <v>119</v>
      </c>
      <c r="B8">
        <f>B4+B5+B7</f>
        <v>1</v>
      </c>
    </row>
    <row r="9" spans="1:15" x14ac:dyDescent="0.25">
      <c r="A9" t="s">
        <v>6</v>
      </c>
      <c r="B9" s="8">
        <v>250</v>
      </c>
      <c r="C9" t="s">
        <v>7</v>
      </c>
    </row>
    <row r="10" spans="1:15" x14ac:dyDescent="0.25">
      <c r="A10" t="s">
        <v>8</v>
      </c>
      <c r="B10" s="6">
        <f>B6*B4</f>
        <v>424.01460976850774</v>
      </c>
      <c r="C10" t="s">
        <v>1</v>
      </c>
      <c r="D10" s="19">
        <f>B10*2.2046</f>
        <v>934.78260869565224</v>
      </c>
      <c r="E10" t="s">
        <v>73</v>
      </c>
    </row>
    <row r="11" spans="1:15" x14ac:dyDescent="0.25">
      <c r="A11" t="s">
        <v>45</v>
      </c>
      <c r="B11" s="20">
        <f>B9*B10</f>
        <v>106003.65244212693</v>
      </c>
      <c r="C11" t="s">
        <v>49</v>
      </c>
      <c r="D11" s="19">
        <f>B11*2655.22</f>
        <v>281463018.03738421</v>
      </c>
      <c r="E11" t="s">
        <v>183</v>
      </c>
    </row>
    <row r="12" spans="1:15" x14ac:dyDescent="0.25">
      <c r="A12" t="s">
        <v>58</v>
      </c>
      <c r="B12" s="8">
        <v>0.8</v>
      </c>
      <c r="C12" t="s">
        <v>3</v>
      </c>
    </row>
    <row r="13" spans="1:15" x14ac:dyDescent="0.25">
      <c r="A13" t="s">
        <v>59</v>
      </c>
      <c r="B13" s="20">
        <f>B11*B12</f>
        <v>84802.921953701545</v>
      </c>
      <c r="C13" t="s">
        <v>49</v>
      </c>
      <c r="D13">
        <f>B13/1000</f>
        <v>84.802921953701542</v>
      </c>
      <c r="E13" t="s">
        <v>47</v>
      </c>
      <c r="F13">
        <f>B13*2655.22</f>
        <v>225170414.42990741</v>
      </c>
      <c r="G13" t="s">
        <v>183</v>
      </c>
    </row>
    <row r="15" spans="1:15" x14ac:dyDescent="0.25">
      <c r="A15" t="s">
        <v>10</v>
      </c>
      <c r="B15" s="8">
        <v>20</v>
      </c>
      <c r="C15" t="s">
        <v>3</v>
      </c>
    </row>
    <row r="16" spans="1:15" x14ac:dyDescent="0.25">
      <c r="A16" t="s">
        <v>11</v>
      </c>
      <c r="B16" s="6">
        <f>B6*9.81</f>
        <v>8319.1666436581218</v>
      </c>
      <c r="C16" t="s">
        <v>12</v>
      </c>
    </row>
    <row r="17" spans="1:9" x14ac:dyDescent="0.25">
      <c r="A17" t="s">
        <v>13</v>
      </c>
      <c r="B17" s="6">
        <f>B16/B15</f>
        <v>415.95833218290608</v>
      </c>
      <c r="C17" t="s">
        <v>12</v>
      </c>
      <c r="D17" s="19">
        <f>B17/9.81</f>
        <v>42.401460976850771</v>
      </c>
      <c r="E17" t="s">
        <v>1</v>
      </c>
      <c r="F17" s="19">
        <f>D17*2.2046</f>
        <v>93.478260869565219</v>
      </c>
      <c r="G17" t="s">
        <v>34</v>
      </c>
    </row>
    <row r="18" spans="1:9" x14ac:dyDescent="0.25">
      <c r="A18" t="s">
        <v>115</v>
      </c>
      <c r="B18" s="8">
        <v>60</v>
      </c>
      <c r="C18" t="s">
        <v>14</v>
      </c>
      <c r="D18" s="6">
        <f>B18*2.23694</f>
        <v>134.21640000000002</v>
      </c>
      <c r="E18" t="s">
        <v>15</v>
      </c>
      <c r="F18" s="5">
        <f>B18/343</f>
        <v>0.1749271137026239</v>
      </c>
      <c r="G18" t="s">
        <v>65</v>
      </c>
      <c r="H18" s="19">
        <f>D18/1.15</f>
        <v>116.70991304347829</v>
      </c>
      <c r="I18" t="s">
        <v>106</v>
      </c>
    </row>
    <row r="19" spans="1:9" x14ac:dyDescent="0.25">
      <c r="A19" t="s">
        <v>79</v>
      </c>
      <c r="B19" s="19">
        <f>B18*B17</f>
        <v>24957.499930974365</v>
      </c>
      <c r="C19" t="s">
        <v>16</v>
      </c>
      <c r="D19" s="6">
        <f>B19/1000</f>
        <v>24.957499930974365</v>
      </c>
      <c r="E19" t="s">
        <v>17</v>
      </c>
      <c r="F19" s="7">
        <f>D19*1.341</f>
        <v>33.468007407436623</v>
      </c>
      <c r="G19" t="s">
        <v>77</v>
      </c>
      <c r="H19" s="9" t="s">
        <v>78</v>
      </c>
    </row>
    <row r="20" spans="1:9" x14ac:dyDescent="0.25">
      <c r="A20" t="s">
        <v>19</v>
      </c>
      <c r="B20" s="10">
        <v>69.8</v>
      </c>
      <c r="C20" t="s">
        <v>14</v>
      </c>
      <c r="D20" t="s">
        <v>110</v>
      </c>
      <c r="H20" t="s">
        <v>20</v>
      </c>
    </row>
    <row r="21" spans="1:9" x14ac:dyDescent="0.25">
      <c r="A21" t="s">
        <v>24</v>
      </c>
      <c r="B21" s="6">
        <f>B20-B18</f>
        <v>9.7999999999999972</v>
      </c>
      <c r="C21" t="s">
        <v>14</v>
      </c>
    </row>
    <row r="22" spans="1:9" x14ac:dyDescent="0.25">
      <c r="A22" t="s">
        <v>21</v>
      </c>
      <c r="B22" s="8">
        <v>0.77100000000000002</v>
      </c>
      <c r="C22" t="s">
        <v>31</v>
      </c>
      <c r="D22" s="9" t="s">
        <v>109</v>
      </c>
      <c r="E22">
        <f>B22/515.379</f>
        <v>1.4959864488075765E-3</v>
      </c>
    </row>
    <row r="23" spans="1:9" x14ac:dyDescent="0.25">
      <c r="A23" t="s">
        <v>26</v>
      </c>
      <c r="B23" s="8">
        <v>1</v>
      </c>
      <c r="C23" t="s">
        <v>22</v>
      </c>
    </row>
    <row r="24" spans="1:9" x14ac:dyDescent="0.25">
      <c r="A24" t="s">
        <v>53</v>
      </c>
      <c r="B24" s="8">
        <v>1</v>
      </c>
      <c r="C24" t="s">
        <v>3</v>
      </c>
    </row>
    <row r="25" spans="1:9" x14ac:dyDescent="0.25">
      <c r="A25" t="s">
        <v>27</v>
      </c>
      <c r="B25" s="19">
        <f>B24*PI()*(B23/2)^2</f>
        <v>0.78539816339744828</v>
      </c>
      <c r="C25" t="s">
        <v>28</v>
      </c>
      <c r="D25" s="5">
        <f>B25*10.75</f>
        <v>8.4430302565225688</v>
      </c>
      <c r="E25" t="s">
        <v>128</v>
      </c>
    </row>
    <row r="26" spans="1:9" x14ac:dyDescent="0.25">
      <c r="A26" t="s">
        <v>23</v>
      </c>
      <c r="B26" s="19">
        <f>B25*B20</f>
        <v>54.820791805141887</v>
      </c>
      <c r="C26" t="s">
        <v>29</v>
      </c>
    </row>
    <row r="27" spans="1:9" x14ac:dyDescent="0.25">
      <c r="A27" t="s">
        <v>30</v>
      </c>
      <c r="B27" s="19">
        <f>B26*B22</f>
        <v>42.266830481764394</v>
      </c>
      <c r="C27" t="s">
        <v>32</v>
      </c>
    </row>
    <row r="28" spans="1:9" x14ac:dyDescent="0.25">
      <c r="A28" t="s">
        <v>33</v>
      </c>
      <c r="B28" s="19">
        <f>B27*B21</f>
        <v>414.21493872129093</v>
      </c>
      <c r="C28" t="s">
        <v>12</v>
      </c>
      <c r="D28" s="19">
        <f>B28/9.81</f>
        <v>42.22374502765453</v>
      </c>
      <c r="E28" t="s">
        <v>1</v>
      </c>
      <c r="F28" s="19">
        <f>D28*2.2046</f>
        <v>93.086468287967179</v>
      </c>
      <c r="G28" t="s">
        <v>34</v>
      </c>
    </row>
    <row r="29" spans="1:9" x14ac:dyDescent="0.25">
      <c r="A29" t="s">
        <v>81</v>
      </c>
      <c r="B29" s="19">
        <f>B28*B18</f>
        <v>24852.896323277455</v>
      </c>
      <c r="C29" t="s">
        <v>16</v>
      </c>
    </row>
    <row r="30" spans="1:9" x14ac:dyDescent="0.25">
      <c r="A30" t="s">
        <v>80</v>
      </c>
      <c r="B30" s="19">
        <f>B28-B17</f>
        <v>-1.7433934616151419</v>
      </c>
      <c r="C30" t="s">
        <v>12</v>
      </c>
    </row>
    <row r="31" spans="1:9" x14ac:dyDescent="0.25">
      <c r="A31" t="s">
        <v>52</v>
      </c>
      <c r="B31" s="6">
        <f>2/(1+(B20/B18))</f>
        <v>0.92449922958397546</v>
      </c>
      <c r="C31" t="s">
        <v>3</v>
      </c>
      <c r="E31" t="s">
        <v>35</v>
      </c>
    </row>
    <row r="32" spans="1:9" x14ac:dyDescent="0.25">
      <c r="A32" t="s">
        <v>42</v>
      </c>
      <c r="B32" s="19">
        <f>B19/B31</f>
        <v>26995.695758670601</v>
      </c>
      <c r="C32" t="s">
        <v>16</v>
      </c>
      <c r="D32" s="19">
        <f>B32/1000</f>
        <v>26.9956957586706</v>
      </c>
      <c r="E32" t="s">
        <v>17</v>
      </c>
    </row>
    <row r="33" spans="1:5" x14ac:dyDescent="0.25">
      <c r="A33" t="s">
        <v>43</v>
      </c>
      <c r="B33" s="8">
        <v>0.9</v>
      </c>
      <c r="C33" t="s">
        <v>3</v>
      </c>
    </row>
    <row r="34" spans="1:5" x14ac:dyDescent="0.25">
      <c r="A34" t="s">
        <v>44</v>
      </c>
      <c r="B34">
        <f>B32/B33</f>
        <v>29995.217509634</v>
      </c>
      <c r="C34" t="s">
        <v>16</v>
      </c>
      <c r="D34" s="19">
        <f>B34/1000</f>
        <v>29.995217509633999</v>
      </c>
      <c r="E34" t="s">
        <v>17</v>
      </c>
    </row>
    <row r="35" spans="1:5" ht="15.75" thickBot="1" x14ac:dyDescent="0.3">
      <c r="A35" t="s">
        <v>54</v>
      </c>
      <c r="B35" s="5">
        <f>(F28/F17)-1</f>
        <v>-4.1912694775604331E-3</v>
      </c>
      <c r="C35" t="s">
        <v>3</v>
      </c>
    </row>
    <row r="36" spans="1:5" ht="15.75" thickBot="1" x14ac:dyDescent="0.3">
      <c r="A36" t="s">
        <v>118</v>
      </c>
      <c r="B36" s="16">
        <f>B13/B34</f>
        <v>2.8272147693699559</v>
      </c>
      <c r="C36" t="s">
        <v>48</v>
      </c>
    </row>
    <row r="37" spans="1:5" ht="15.75" thickBot="1" x14ac:dyDescent="0.3">
      <c r="A37" t="s">
        <v>117</v>
      </c>
      <c r="B37" s="16">
        <f>D18*B36</f>
        <v>379.45858837166583</v>
      </c>
      <c r="C37" t="s">
        <v>51</v>
      </c>
    </row>
    <row r="39" spans="1:5" x14ac:dyDescent="0.25">
      <c r="A39" t="s">
        <v>55</v>
      </c>
      <c r="B39" s="8">
        <v>0.23</v>
      </c>
      <c r="C39" t="s">
        <v>56</v>
      </c>
    </row>
    <row r="40" spans="1:5" x14ac:dyDescent="0.25">
      <c r="A40" t="s">
        <v>57</v>
      </c>
      <c r="B40" s="6">
        <f>D13*B39</f>
        <v>19.504672049351356</v>
      </c>
      <c r="C40" t="s">
        <v>60</v>
      </c>
    </row>
    <row r="41" spans="1:5" x14ac:dyDescent="0.25">
      <c r="A41" t="s">
        <v>61</v>
      </c>
      <c r="B41" s="4">
        <f>B40/B37</f>
        <v>5.1401319266615841E-2</v>
      </c>
      <c r="C41" t="s">
        <v>62</v>
      </c>
    </row>
    <row r="42" spans="1:5" x14ac:dyDescent="0.25">
      <c r="A42" t="s">
        <v>64</v>
      </c>
      <c r="B42" s="6">
        <f>1/B41</f>
        <v>19.454753579631966</v>
      </c>
      <c r="C42" t="s">
        <v>63</v>
      </c>
    </row>
    <row r="43" spans="1:5" x14ac:dyDescent="0.25">
      <c r="A43" t="s">
        <v>229</v>
      </c>
      <c r="B43" s="6">
        <f>B40/B36</f>
        <v>6.8989000272158201</v>
      </c>
      <c r="C43" t="s">
        <v>88</v>
      </c>
    </row>
    <row r="45" spans="1:5" x14ac:dyDescent="0.25">
      <c r="A45" s="11" t="s">
        <v>82</v>
      </c>
      <c r="B45" s="8">
        <v>100</v>
      </c>
      <c r="C45" t="s">
        <v>83</v>
      </c>
    </row>
    <row r="46" spans="1:5" x14ac:dyDescent="0.25">
      <c r="A46" t="s">
        <v>86</v>
      </c>
      <c r="B46" s="12">
        <f>B45*D13</f>
        <v>8480.2921953701534</v>
      </c>
    </row>
    <row r="47" spans="1:5" x14ac:dyDescent="0.25">
      <c r="A47" t="s">
        <v>84</v>
      </c>
      <c r="B47" s="8">
        <v>1000</v>
      </c>
      <c r="C47" t="s">
        <v>85</v>
      </c>
    </row>
    <row r="48" spans="1:5" x14ac:dyDescent="0.25">
      <c r="A48" t="s">
        <v>93</v>
      </c>
      <c r="B48" s="13">
        <f>B46/B47</f>
        <v>8.4802921953701542</v>
      </c>
      <c r="C48" t="s">
        <v>89</v>
      </c>
    </row>
    <row r="49" spans="1:6" x14ac:dyDescent="0.25">
      <c r="A49" t="s">
        <v>92</v>
      </c>
      <c r="B49" s="13">
        <f>B48/B36</f>
        <v>2.9995217509633996</v>
      </c>
      <c r="C49" t="s">
        <v>88</v>
      </c>
    </row>
    <row r="50" spans="1:6" x14ac:dyDescent="0.25">
      <c r="A50" t="s">
        <v>61</v>
      </c>
      <c r="B50" s="13">
        <f>B49/D18</f>
        <v>2.2348399681137322E-2</v>
      </c>
      <c r="C50" t="s">
        <v>95</v>
      </c>
    </row>
    <row r="52" spans="1:6" x14ac:dyDescent="0.25">
      <c r="A52" s="11" t="s">
        <v>94</v>
      </c>
      <c r="B52" s="13"/>
    </row>
    <row r="53" spans="1:6" x14ac:dyDescent="0.25">
      <c r="A53" t="s">
        <v>96</v>
      </c>
      <c r="B53" s="13">
        <f>B50+B41</f>
        <v>7.374971894775316E-2</v>
      </c>
      <c r="C53" t="s">
        <v>102</v>
      </c>
    </row>
    <row r="54" spans="1:6" x14ac:dyDescent="0.25">
      <c r="B54" s="13"/>
    </row>
    <row r="55" spans="1:6" x14ac:dyDescent="0.25">
      <c r="A55" t="s">
        <v>100</v>
      </c>
      <c r="B55" s="15">
        <v>6</v>
      </c>
      <c r="C55" t="s">
        <v>101</v>
      </c>
    </row>
    <row r="56" spans="1:6" x14ac:dyDescent="0.25">
      <c r="A56" t="s">
        <v>99</v>
      </c>
      <c r="B56" s="5">
        <f>B55/B53</f>
        <v>81.356242242097309</v>
      </c>
      <c r="C56" t="s">
        <v>103</v>
      </c>
    </row>
    <row r="57" spans="1:6" x14ac:dyDescent="0.25">
      <c r="B57" s="13"/>
    </row>
    <row r="58" spans="1:6" x14ac:dyDescent="0.25">
      <c r="A58" t="s">
        <v>70</v>
      </c>
      <c r="B58" t="s">
        <v>71</v>
      </c>
    </row>
    <row r="59" spans="1:6" x14ac:dyDescent="0.25">
      <c r="B59" t="s">
        <v>87</v>
      </c>
    </row>
    <row r="60" spans="1:6" x14ac:dyDescent="0.25">
      <c r="B60" t="s">
        <v>72</v>
      </c>
    </row>
    <row r="62" spans="1:6" x14ac:dyDescent="0.25">
      <c r="A62" t="s">
        <v>228</v>
      </c>
      <c r="B62" s="22">
        <f>D2*B37*D18/(B40*1000)</f>
        <v>1122.7932049884857</v>
      </c>
      <c r="C62" t="s">
        <v>112</v>
      </c>
      <c r="F62" t="s">
        <v>114</v>
      </c>
    </row>
    <row r="65" spans="1:5" ht="21" x14ac:dyDescent="0.35">
      <c r="A65" s="39" t="s">
        <v>120</v>
      </c>
      <c r="C65" t="s">
        <v>177</v>
      </c>
    </row>
    <row r="66" spans="1:5" x14ac:dyDescent="0.25">
      <c r="A66" t="s">
        <v>121</v>
      </c>
      <c r="B66" s="8">
        <v>1.45</v>
      </c>
    </row>
    <row r="67" spans="1:5" x14ac:dyDescent="0.25">
      <c r="A67" t="s">
        <v>122</v>
      </c>
      <c r="B67" s="8">
        <v>2.3800000000000002E-3</v>
      </c>
      <c r="C67" t="s">
        <v>123</v>
      </c>
    </row>
    <row r="68" spans="1:5" x14ac:dyDescent="0.25">
      <c r="A68" t="s">
        <v>124</v>
      </c>
      <c r="B68" s="8">
        <v>70</v>
      </c>
      <c r="C68" t="s">
        <v>125</v>
      </c>
      <c r="D68">
        <f>B68*1.688</f>
        <v>118.16</v>
      </c>
      <c r="E68" t="s">
        <v>126</v>
      </c>
    </row>
    <row r="69" spans="1:5" x14ac:dyDescent="0.25">
      <c r="A69" t="s">
        <v>127</v>
      </c>
      <c r="B69" s="6">
        <f>D6/(0.5*B67*D68^2*B66)</f>
        <v>77.604104414239274</v>
      </c>
      <c r="C69" t="s">
        <v>128</v>
      </c>
    </row>
    <row r="70" spans="1:5" x14ac:dyDescent="0.25">
      <c r="A70" t="s">
        <v>129</v>
      </c>
      <c r="B70" s="8">
        <v>30</v>
      </c>
      <c r="C70" t="s">
        <v>130</v>
      </c>
    </row>
    <row r="71" spans="1:5" x14ac:dyDescent="0.25">
      <c r="A71" t="s">
        <v>131</v>
      </c>
      <c r="B71" s="19">
        <f>B69/B70</f>
        <v>2.5868034804746425</v>
      </c>
      <c r="C71" t="s">
        <v>130</v>
      </c>
    </row>
    <row r="72" spans="1:5" x14ac:dyDescent="0.25">
      <c r="A72" t="s">
        <v>132</v>
      </c>
      <c r="B72" s="19">
        <f>B70/B71</f>
        <v>11.597324739371162</v>
      </c>
      <c r="C72" t="s">
        <v>97</v>
      </c>
    </row>
    <row r="73" spans="1:5" x14ac:dyDescent="0.25">
      <c r="B73" s="5"/>
    </row>
    <row r="74" spans="1:5" x14ac:dyDescent="0.25">
      <c r="A74" s="11" t="s">
        <v>191</v>
      </c>
    </row>
    <row r="75" spans="1:5" x14ac:dyDescent="0.25">
      <c r="A75" t="s">
        <v>133</v>
      </c>
      <c r="B75" s="8">
        <v>0.8</v>
      </c>
      <c r="C75" t="s">
        <v>179</v>
      </c>
    </row>
    <row r="76" spans="1:5" x14ac:dyDescent="0.25">
      <c r="A76" t="s">
        <v>135</v>
      </c>
      <c r="B76" s="19">
        <f>H18*1.687</f>
        <v>196.88962330434788</v>
      </c>
      <c r="C76" t="s">
        <v>126</v>
      </c>
    </row>
    <row r="77" spans="1:5" x14ac:dyDescent="0.25">
      <c r="A77" t="s">
        <v>134</v>
      </c>
      <c r="B77" s="34">
        <f>D6/(0.5*B76^2*B75*B69)</f>
        <v>1.5536395947393141E-3</v>
      </c>
      <c r="C77" t="s">
        <v>123</v>
      </c>
    </row>
    <row r="79" spans="1:5" x14ac:dyDescent="0.25">
      <c r="A79" s="11" t="s">
        <v>178</v>
      </c>
    </row>
    <row r="80" spans="1:5" x14ac:dyDescent="0.25">
      <c r="A80" t="s">
        <v>136</v>
      </c>
      <c r="B80" s="5">
        <f>SQRT(D6/(0.5*B75*B69*E22))</f>
        <v>200.64767821432261</v>
      </c>
      <c r="C80" t="s">
        <v>126</v>
      </c>
      <c r="D80">
        <f>B80/1.688</f>
        <v>118.86710794687359</v>
      </c>
      <c r="E80" t="s">
        <v>106</v>
      </c>
    </row>
    <row r="82" spans="1:7" x14ac:dyDescent="0.25">
      <c r="A82" s="11" t="s">
        <v>140</v>
      </c>
    </row>
    <row r="83" spans="1:7" x14ac:dyDescent="0.25">
      <c r="A83" t="s">
        <v>137</v>
      </c>
      <c r="B83">
        <v>243</v>
      </c>
      <c r="C83" t="s">
        <v>73</v>
      </c>
      <c r="D83">
        <v>53.8</v>
      </c>
      <c r="E83" t="s">
        <v>138</v>
      </c>
      <c r="F83" s="6">
        <f>B83/D83</f>
        <v>4.5167286245353164</v>
      </c>
      <c r="G83" t="s">
        <v>139</v>
      </c>
    </row>
    <row r="84" spans="1:7" x14ac:dyDescent="0.25">
      <c r="A84" t="s">
        <v>141</v>
      </c>
      <c r="B84">
        <v>710</v>
      </c>
      <c r="C84" t="s">
        <v>73</v>
      </c>
      <c r="D84">
        <v>81.99</v>
      </c>
      <c r="E84" t="s">
        <v>138</v>
      </c>
      <c r="F84" s="6">
        <f>B84/D84</f>
        <v>8.6595926332479571</v>
      </c>
      <c r="G84" t="s">
        <v>139</v>
      </c>
    </row>
    <row r="85" spans="1:7" x14ac:dyDescent="0.25">
      <c r="A85" t="s">
        <v>142</v>
      </c>
      <c r="B85">
        <v>580</v>
      </c>
      <c r="C85" t="s">
        <v>73</v>
      </c>
      <c r="D85">
        <v>53.6</v>
      </c>
      <c r="E85" t="s">
        <v>138</v>
      </c>
      <c r="F85" s="6">
        <f>B85/D85</f>
        <v>10.82089552238806</v>
      </c>
      <c r="G85" t="s">
        <v>139</v>
      </c>
    </row>
    <row r="87" spans="1:7" x14ac:dyDescent="0.25">
      <c r="A87" t="s">
        <v>144</v>
      </c>
      <c r="B87" s="19">
        <f>D7/B69</f>
        <v>6.5045864842560013</v>
      </c>
      <c r="C87" t="s">
        <v>139</v>
      </c>
      <c r="D87" t="s">
        <v>143</v>
      </c>
    </row>
    <row r="89" spans="1:7" x14ac:dyDescent="0.25">
      <c r="A89" s="11" t="s">
        <v>145</v>
      </c>
    </row>
    <row r="90" spans="1:7" x14ac:dyDescent="0.25">
      <c r="A90" t="s">
        <v>146</v>
      </c>
    </row>
    <row r="91" spans="1:7" x14ac:dyDescent="0.25">
      <c r="A91" t="s">
        <v>147</v>
      </c>
    </row>
    <row r="92" spans="1:7" x14ac:dyDescent="0.25">
      <c r="A92" t="s">
        <v>148</v>
      </c>
    </row>
    <row r="93" spans="1:7" x14ac:dyDescent="0.25">
      <c r="A93" t="s">
        <v>149</v>
      </c>
    </row>
    <row r="94" spans="1:7" x14ac:dyDescent="0.25">
      <c r="A94" t="s">
        <v>150</v>
      </c>
    </row>
    <row r="95" spans="1:7" x14ac:dyDescent="0.25">
      <c r="A95" t="s">
        <v>151</v>
      </c>
    </row>
    <row r="96" spans="1:7" x14ac:dyDescent="0.25">
      <c r="A96" t="s">
        <v>152</v>
      </c>
    </row>
    <row r="97" spans="1:3" x14ac:dyDescent="0.25">
      <c r="A97" t="s">
        <v>153</v>
      </c>
    </row>
    <row r="98" spans="1:3" x14ac:dyDescent="0.25">
      <c r="A98" t="s">
        <v>222</v>
      </c>
    </row>
    <row r="99" spans="1:3" x14ac:dyDescent="0.25">
      <c r="A99" t="s">
        <v>223</v>
      </c>
    </row>
    <row r="101" spans="1:3" ht="18.75" x14ac:dyDescent="0.3">
      <c r="A101" s="38" t="s">
        <v>180</v>
      </c>
    </row>
    <row r="102" spans="1:3" x14ac:dyDescent="0.25">
      <c r="A102" s="50" t="s">
        <v>181</v>
      </c>
      <c r="B102" s="51"/>
      <c r="C102" s="51"/>
    </row>
    <row r="103" spans="1:3" x14ac:dyDescent="0.25">
      <c r="A103" s="25" t="s">
        <v>155</v>
      </c>
      <c r="B103" s="8">
        <v>5.0000000000000001E-3</v>
      </c>
      <c r="C103" s="25" t="s">
        <v>3</v>
      </c>
    </row>
    <row r="104" spans="1:3" x14ac:dyDescent="0.25">
      <c r="A104" s="25"/>
      <c r="B104" s="26"/>
      <c r="C104" s="25"/>
    </row>
    <row r="105" spans="1:3" x14ac:dyDescent="0.25">
      <c r="A105" s="52" t="s">
        <v>156</v>
      </c>
      <c r="B105" s="53"/>
      <c r="C105" s="54"/>
    </row>
    <row r="106" spans="1:3" x14ac:dyDescent="0.25">
      <c r="A106" s="25" t="s">
        <v>157</v>
      </c>
      <c r="B106" s="35">
        <v>0.01</v>
      </c>
      <c r="C106" s="25" t="s">
        <v>3</v>
      </c>
    </row>
    <row r="107" spans="1:3" x14ac:dyDescent="0.25">
      <c r="A107" s="25" t="s">
        <v>158</v>
      </c>
      <c r="B107" s="36">
        <v>1.45</v>
      </c>
      <c r="C107" s="25" t="s">
        <v>3</v>
      </c>
    </row>
    <row r="108" spans="1:3" x14ac:dyDescent="0.25">
      <c r="A108" s="25" t="s">
        <v>159</v>
      </c>
      <c r="B108" s="37">
        <v>0.85</v>
      </c>
      <c r="C108" s="25" t="s">
        <v>160</v>
      </c>
    </row>
    <row r="109" spans="1:3" x14ac:dyDescent="0.25">
      <c r="A109" s="25" t="s">
        <v>161</v>
      </c>
      <c r="B109" s="27">
        <f>B72</f>
        <v>11.597324739371162</v>
      </c>
      <c r="C109" s="25" t="s">
        <v>3</v>
      </c>
    </row>
    <row r="110" spans="1:3" x14ac:dyDescent="0.25">
      <c r="A110" s="25" t="s">
        <v>162</v>
      </c>
      <c r="B110" s="25">
        <f>B70*12</f>
        <v>360</v>
      </c>
      <c r="C110" s="25" t="s">
        <v>163</v>
      </c>
    </row>
    <row r="111" spans="1:3" x14ac:dyDescent="0.25">
      <c r="A111" s="25" t="s">
        <v>127</v>
      </c>
      <c r="B111" s="27">
        <f>B69</f>
        <v>77.604104414239274</v>
      </c>
      <c r="C111" s="30" t="s">
        <v>128</v>
      </c>
    </row>
    <row r="112" spans="1:3" x14ac:dyDescent="0.25">
      <c r="A112" s="25"/>
      <c r="B112" s="27"/>
      <c r="C112" s="25"/>
    </row>
    <row r="113" spans="1:16" x14ac:dyDescent="0.25">
      <c r="A113" s="25"/>
      <c r="B113" s="25"/>
      <c r="C113" s="25"/>
    </row>
    <row r="114" spans="1:16" x14ac:dyDescent="0.25">
      <c r="A114" s="52" t="s">
        <v>182</v>
      </c>
      <c r="B114" s="53"/>
      <c r="C114" s="54"/>
    </row>
    <row r="115" spans="1:16" x14ac:dyDescent="0.25">
      <c r="A115" s="25" t="s">
        <v>164</v>
      </c>
      <c r="B115" s="8">
        <v>1.01</v>
      </c>
      <c r="C115" s="25" t="s">
        <v>3</v>
      </c>
    </row>
    <row r="116" spans="1:16" x14ac:dyDescent="0.25">
      <c r="A116" s="25" t="s">
        <v>165</v>
      </c>
      <c r="B116" s="8">
        <v>3</v>
      </c>
      <c r="C116" s="25"/>
    </row>
    <row r="117" spans="1:16" x14ac:dyDescent="0.25">
      <c r="A117" s="25" t="s">
        <v>166</v>
      </c>
      <c r="B117" s="8">
        <v>0</v>
      </c>
      <c r="C117" s="25" t="s">
        <v>163</v>
      </c>
    </row>
    <row r="118" spans="1:16" x14ac:dyDescent="0.25">
      <c r="A118" s="25" t="s">
        <v>167</v>
      </c>
      <c r="B118" s="8">
        <v>1</v>
      </c>
      <c r="C118" s="25" t="s">
        <v>163</v>
      </c>
    </row>
    <row r="119" spans="1:16" x14ac:dyDescent="0.25">
      <c r="A119" s="25" t="s">
        <v>168</v>
      </c>
      <c r="B119" s="25">
        <f>B116*(B115*((B117*B118)/(B111)))</f>
        <v>0</v>
      </c>
      <c r="C119" s="25" t="s">
        <v>3</v>
      </c>
    </row>
    <row r="120" spans="1:16" x14ac:dyDescent="0.25">
      <c r="B120" s="24"/>
      <c r="C120" s="23"/>
    </row>
    <row r="121" spans="1:16" x14ac:dyDescent="0.25">
      <c r="A121" s="24" t="s">
        <v>187</v>
      </c>
      <c r="B121" s="28">
        <f>B106+B103+B119</f>
        <v>1.4999999999999999E-2</v>
      </c>
      <c r="C121" s="23"/>
    </row>
    <row r="122" spans="1:16" x14ac:dyDescent="0.25">
      <c r="B122" s="24"/>
      <c r="C122" s="23"/>
    </row>
    <row r="123" spans="1:16" ht="23.25" x14ac:dyDescent="0.35">
      <c r="A123" s="32" t="s">
        <v>176</v>
      </c>
      <c r="B123" s="24"/>
      <c r="C123" s="23"/>
    </row>
    <row r="124" spans="1:16" x14ac:dyDescent="0.25">
      <c r="A124" s="41" t="s">
        <v>220</v>
      </c>
      <c r="B124" s="8">
        <v>1.5499999999999999E-3</v>
      </c>
      <c r="C124" s="23" t="s">
        <v>221</v>
      </c>
      <c r="H124" t="s">
        <v>174</v>
      </c>
    </row>
    <row r="125" spans="1:16" x14ac:dyDescent="0.25">
      <c r="B125" s="24"/>
      <c r="C125" s="24"/>
      <c r="D125" s="23"/>
    </row>
    <row r="126" spans="1:16" x14ac:dyDescent="0.25">
      <c r="A126" s="11" t="s">
        <v>126</v>
      </c>
      <c r="B126" s="31" t="s">
        <v>170</v>
      </c>
      <c r="C126" s="31" t="s">
        <v>189</v>
      </c>
      <c r="D126" s="29" t="s">
        <v>190</v>
      </c>
      <c r="E126" s="11" t="s">
        <v>188</v>
      </c>
      <c r="F126" s="11" t="s">
        <v>154</v>
      </c>
      <c r="G126" s="11" t="s">
        <v>169</v>
      </c>
      <c r="H126" s="11" t="s">
        <v>172</v>
      </c>
      <c r="I126" s="11" t="s">
        <v>173</v>
      </c>
      <c r="J126" s="11" t="s">
        <v>171</v>
      </c>
      <c r="K126" s="11" t="s">
        <v>175</v>
      </c>
      <c r="L126" s="11" t="s">
        <v>184</v>
      </c>
      <c r="M126" s="48" t="s">
        <v>17</v>
      </c>
      <c r="N126" s="11" t="s">
        <v>186</v>
      </c>
      <c r="O126" s="11" t="s">
        <v>46</v>
      </c>
      <c r="P126" s="11" t="s">
        <v>185</v>
      </c>
    </row>
    <row r="127" spans="1:16" x14ac:dyDescent="0.25">
      <c r="A127">
        <v>30</v>
      </c>
      <c r="B127" s="33">
        <f>(A127/5280*60*60)/1.15</f>
        <v>17.786561264822137</v>
      </c>
      <c r="C127" s="40">
        <f>E127^2/(PI()*$B$108*$B$109)</f>
        <v>38.52093465037094</v>
      </c>
      <c r="D127" s="23">
        <f>($B$121)+C127</f>
        <v>38.53593465037094</v>
      </c>
      <c r="E127" s="19">
        <f t="shared" ref="E127:E158" si="0">$D$6/(0.5*$B$124*A127^2*$B$111)</f>
        <v>34.539155631254481</v>
      </c>
      <c r="F127" s="19">
        <f>E127/D127</f>
        <v>0.89628436275444046</v>
      </c>
      <c r="G127" s="19">
        <f t="shared" ref="G127:G158" si="1">A127*F127</f>
        <v>26.888530882633212</v>
      </c>
      <c r="H127" s="6">
        <f>0.5*$B$124*A127^2*D127*$B$111</f>
        <v>2085.9063206746123</v>
      </c>
      <c r="I127" s="6">
        <v>400</v>
      </c>
      <c r="J127" s="6"/>
      <c r="K127" s="19">
        <f t="shared" ref="K127:K158" si="2">F127*B127*J127</f>
        <v>0</v>
      </c>
      <c r="L127" s="19"/>
      <c r="M127" s="19"/>
      <c r="N127" s="19"/>
    </row>
    <row r="128" spans="1:16" x14ac:dyDescent="0.25">
      <c r="A128">
        <v>35</v>
      </c>
      <c r="B128" s="33">
        <f t="shared" ref="B128:B191" si="3">(A128/5280*60*60)/1.15</f>
        <v>20.750988142292496</v>
      </c>
      <c r="C128" s="40">
        <f t="shared" ref="C128:C191" si="4">E128^2/(PI()*$B$108*$B$109)</f>
        <v>20.79264111073751</v>
      </c>
      <c r="D128" s="23">
        <f t="shared" ref="D128:D191" si="5">($B$121)+C128</f>
        <v>20.80764111073751</v>
      </c>
      <c r="E128" s="19">
        <f t="shared" si="0"/>
        <v>25.375706178064522</v>
      </c>
      <c r="F128" s="19">
        <f t="shared" ref="F128:F183" si="6">E128/D128</f>
        <v>1.2195378631828537</v>
      </c>
      <c r="G128" s="19">
        <f t="shared" si="1"/>
        <v>42.683825211399878</v>
      </c>
      <c r="H128" s="6">
        <f t="shared" ref="H128:H191" si="7">0.5*$B$124*A128^2*D128*$B$111</f>
        <v>1533.0112117322494</v>
      </c>
      <c r="I128" s="6">
        <f t="shared" ref="I128:I159" si="8">A128+(H128/($D$25*$B$77*I127))</f>
        <v>327.17073519810845</v>
      </c>
      <c r="J128" s="6">
        <f t="shared" ref="J128:J159" si="9">2/(1+(I128/A128))</f>
        <v>0.19327900682452931</v>
      </c>
      <c r="K128" s="19">
        <f t="shared" si="2"/>
        <v>4.8912375559275745</v>
      </c>
      <c r="L128" s="19">
        <f t="shared" ref="L128:L159" si="10">H128*A128/J128/$B$33</f>
        <v>308450.99867778434</v>
      </c>
      <c r="M128" s="19">
        <f>L128/737.56</f>
        <v>418.20461884834367</v>
      </c>
      <c r="N128" s="20">
        <f>$F$13/L128/60</f>
        <v>12.166730717635859</v>
      </c>
      <c r="O128" s="19">
        <f t="shared" ref="O128:O159" si="11">$F$13/L128/3600</f>
        <v>0.202778845293931</v>
      </c>
      <c r="P128" s="20">
        <f t="shared" ref="P128:P159" si="12">B128*O128</f>
        <v>4.2078614142021271</v>
      </c>
    </row>
    <row r="129" spans="1:16" x14ac:dyDescent="0.25">
      <c r="A129">
        <v>40</v>
      </c>
      <c r="B129" s="33">
        <f t="shared" si="3"/>
        <v>23.715415019762847</v>
      </c>
      <c r="C129" s="40">
        <f t="shared" si="4"/>
        <v>12.188264479218931</v>
      </c>
      <c r="D129" s="23">
        <f t="shared" si="5"/>
        <v>12.203264479218932</v>
      </c>
      <c r="E129" s="19">
        <f t="shared" si="0"/>
        <v>19.428275042580648</v>
      </c>
      <c r="F129" s="19">
        <f t="shared" si="6"/>
        <v>1.5920555582209386</v>
      </c>
      <c r="G129" s="19">
        <f t="shared" si="1"/>
        <v>63.68222232883754</v>
      </c>
      <c r="H129" s="6">
        <f t="shared" si="7"/>
        <v>1174.3090294414553</v>
      </c>
      <c r="I129" s="6">
        <f t="shared" si="8"/>
        <v>313.62723627341961</v>
      </c>
      <c r="J129" s="6">
        <f t="shared" si="9"/>
        <v>0.22622691861365882</v>
      </c>
      <c r="K129" s="19">
        <f t="shared" si="2"/>
        <v>8.5414819730767935</v>
      </c>
      <c r="L129" s="19">
        <f t="shared" si="10"/>
        <v>230704.25367350198</v>
      </c>
      <c r="M129" s="19">
        <f t="shared" ref="M129:M192" si="13">L129/737.56</f>
        <v>312.7938793772737</v>
      </c>
      <c r="N129" s="20">
        <f t="shared" ref="N129:N192" si="14">$F$13/L129/60</f>
        <v>16.266887934409581</v>
      </c>
      <c r="O129" s="19">
        <f t="shared" si="11"/>
        <v>0.27111479890682638</v>
      </c>
      <c r="P129" s="20">
        <f t="shared" si="12"/>
        <v>6.4295999740749341</v>
      </c>
    </row>
    <row r="130" spans="1:16" x14ac:dyDescent="0.25">
      <c r="A130">
        <v>45</v>
      </c>
      <c r="B130" s="33">
        <f t="shared" si="3"/>
        <v>26.679841897233203</v>
      </c>
      <c r="C130" s="40">
        <f t="shared" si="4"/>
        <v>7.6090735111843841</v>
      </c>
      <c r="D130" s="23">
        <f t="shared" si="5"/>
        <v>7.6240735111843838</v>
      </c>
      <c r="E130" s="19">
        <f t="shared" si="0"/>
        <v>15.350735836113104</v>
      </c>
      <c r="F130" s="19">
        <f t="shared" si="6"/>
        <v>2.0134559056380872</v>
      </c>
      <c r="G130" s="19">
        <f t="shared" si="1"/>
        <v>90.605515753713917</v>
      </c>
      <c r="H130" s="6">
        <f>0.5*$B$124*A130^2*D130*$B$111</f>
        <v>928.5354658903334</v>
      </c>
      <c r="I130" s="6">
        <f t="shared" si="8"/>
        <v>270.70235943400377</v>
      </c>
      <c r="J130" s="6">
        <f t="shared" si="9"/>
        <v>0.2850786423052189</v>
      </c>
      <c r="K130" s="19">
        <f t="shared" si="2"/>
        <v>15.314049851640052</v>
      </c>
      <c r="L130" s="19">
        <f t="shared" si="10"/>
        <v>162856.02077762785</v>
      </c>
      <c r="M130" s="19">
        <f t="shared" si="13"/>
        <v>220.80375939262956</v>
      </c>
      <c r="N130" s="20">
        <f t="shared" si="14"/>
        <v>23.043914634404469</v>
      </c>
      <c r="O130" s="19">
        <f t="shared" si="11"/>
        <v>0.38406524390674113</v>
      </c>
      <c r="P130" s="20">
        <f t="shared" si="12"/>
        <v>10.24679998565416</v>
      </c>
    </row>
    <row r="131" spans="1:16" x14ac:dyDescent="0.25">
      <c r="A131">
        <v>50</v>
      </c>
      <c r="B131" s="33">
        <f t="shared" si="3"/>
        <v>29.644268774703562</v>
      </c>
      <c r="C131" s="40">
        <f t="shared" si="4"/>
        <v>4.9923131306880748</v>
      </c>
      <c r="D131" s="23">
        <f t="shared" si="5"/>
        <v>5.0073131306880745</v>
      </c>
      <c r="E131" s="19">
        <f t="shared" si="0"/>
        <v>12.434096027251615</v>
      </c>
      <c r="F131" s="19">
        <f t="shared" si="6"/>
        <v>2.4831872309018141</v>
      </c>
      <c r="G131" s="19">
        <f t="shared" si="1"/>
        <v>124.1593615450907</v>
      </c>
      <c r="H131" s="6">
        <f t="shared" si="7"/>
        <v>752.88934886812308</v>
      </c>
      <c r="I131" s="6">
        <f t="shared" si="8"/>
        <v>262.02666667549852</v>
      </c>
      <c r="J131" s="6">
        <f t="shared" si="9"/>
        <v>0.32048542858677526</v>
      </c>
      <c r="K131" s="19">
        <f t="shared" si="2"/>
        <v>23.591659801090191</v>
      </c>
      <c r="L131" s="19">
        <f t="shared" si="10"/>
        <v>130511.9743904483</v>
      </c>
      <c r="M131" s="19">
        <f t="shared" si="13"/>
        <v>176.9509929910086</v>
      </c>
      <c r="N131" s="20">
        <f t="shared" si="14"/>
        <v>28.754758006121417</v>
      </c>
      <c r="O131" s="19">
        <f t="shared" si="11"/>
        <v>0.4792459667686903</v>
      </c>
      <c r="P131" s="20">
        <f t="shared" si="12"/>
        <v>14.206896248083707</v>
      </c>
    </row>
    <row r="132" spans="1:16" x14ac:dyDescent="0.25">
      <c r="A132">
        <v>55</v>
      </c>
      <c r="B132" s="33">
        <f t="shared" si="3"/>
        <v>32.608695652173914</v>
      </c>
      <c r="C132" s="40">
        <f t="shared" si="4"/>
        <v>3.4098170416556761</v>
      </c>
      <c r="D132" s="23">
        <f t="shared" si="5"/>
        <v>3.4248170416556762</v>
      </c>
      <c r="E132" s="19">
        <f t="shared" si="0"/>
        <v>10.276112419216211</v>
      </c>
      <c r="F132" s="19">
        <f t="shared" si="6"/>
        <v>3.0004850753278136</v>
      </c>
      <c r="G132" s="19">
        <f t="shared" si="1"/>
        <v>165.02667914302975</v>
      </c>
      <c r="H132" s="6">
        <f t="shared" si="7"/>
        <v>623.08765764717157</v>
      </c>
      <c r="I132" s="6">
        <f t="shared" si="8"/>
        <v>236.28214454712466</v>
      </c>
      <c r="J132" s="6">
        <f t="shared" si="9"/>
        <v>0.37764072415432187</v>
      </c>
      <c r="K132" s="19">
        <f t="shared" si="2"/>
        <v>36.949087717207519</v>
      </c>
      <c r="L132" s="19">
        <f t="shared" si="10"/>
        <v>100830.17175572929</v>
      </c>
      <c r="M132" s="19">
        <f t="shared" si="13"/>
        <v>136.70775497007605</v>
      </c>
      <c r="N132" s="20">
        <f t="shared" si="14"/>
        <v>37.219417314790164</v>
      </c>
      <c r="O132" s="19">
        <f t="shared" si="11"/>
        <v>0.62032362191316948</v>
      </c>
      <c r="P132" s="20">
        <f t="shared" si="12"/>
        <v>20.227944192820743</v>
      </c>
    </row>
    <row r="133" spans="1:16" x14ac:dyDescent="0.25">
      <c r="A133">
        <v>60</v>
      </c>
      <c r="B133" s="33">
        <f t="shared" si="3"/>
        <v>35.573122529644273</v>
      </c>
      <c r="C133" s="40">
        <f t="shared" si="4"/>
        <v>2.4075584156481837</v>
      </c>
      <c r="D133" s="23">
        <f t="shared" si="5"/>
        <v>2.4225584156481839</v>
      </c>
      <c r="E133" s="19">
        <f t="shared" si="0"/>
        <v>8.6347889078136202</v>
      </c>
      <c r="F133" s="19">
        <f t="shared" si="6"/>
        <v>3.5643263964403853</v>
      </c>
      <c r="G133" s="19">
        <f t="shared" si="1"/>
        <v>213.85958378642312</v>
      </c>
      <c r="H133" s="6">
        <f t="shared" si="7"/>
        <v>524.52132870278047</v>
      </c>
      <c r="I133" s="6">
        <f t="shared" si="8"/>
        <v>229.23244240820452</v>
      </c>
      <c r="J133" s="6">
        <f t="shared" si="9"/>
        <v>0.41489121690795511</v>
      </c>
      <c r="K133" s="19">
        <f t="shared" si="2"/>
        <v>52.605808081765545</v>
      </c>
      <c r="L133" s="19">
        <f t="shared" si="10"/>
        <v>84282.547219945467</v>
      </c>
      <c r="M133" s="19">
        <f t="shared" si="13"/>
        <v>114.27212324413671</v>
      </c>
      <c r="N133" s="20">
        <f t="shared" si="14"/>
        <v>44.526896306360648</v>
      </c>
      <c r="O133" s="19">
        <f t="shared" si="11"/>
        <v>0.74211493843934417</v>
      </c>
      <c r="P133" s="20">
        <f t="shared" si="12"/>
        <v>26.399345636182208</v>
      </c>
    </row>
    <row r="134" spans="1:16" x14ac:dyDescent="0.25">
      <c r="A134">
        <v>65</v>
      </c>
      <c r="B134" s="33">
        <f t="shared" si="3"/>
        <v>38.537549407114632</v>
      </c>
      <c r="C134" s="40">
        <f t="shared" si="4"/>
        <v>1.74794759661359</v>
      </c>
      <c r="D134" s="23">
        <f t="shared" si="5"/>
        <v>1.7629475966135899</v>
      </c>
      <c r="E134" s="19">
        <f t="shared" si="0"/>
        <v>7.3574532705630853</v>
      </c>
      <c r="F134" s="19">
        <f t="shared" si="6"/>
        <v>4.1733817186034727</v>
      </c>
      <c r="G134" s="19">
        <f t="shared" si="1"/>
        <v>271.26981170922573</v>
      </c>
      <c r="H134" s="6">
        <f t="shared" si="7"/>
        <v>447.97369218766602</v>
      </c>
      <c r="I134" s="6">
        <f t="shared" si="8"/>
        <v>213.97994244728761</v>
      </c>
      <c r="J134" s="6">
        <f t="shared" si="9"/>
        <v>0.46598332073483412</v>
      </c>
      <c r="K134" s="19">
        <f t="shared" si="2"/>
        <v>74.944984787773649</v>
      </c>
      <c r="L134" s="19">
        <f t="shared" si="10"/>
        <v>69430.930480230003</v>
      </c>
      <c r="M134" s="19">
        <f t="shared" si="13"/>
        <v>94.135976029380672</v>
      </c>
      <c r="N134" s="20">
        <f t="shared" si="14"/>
        <v>54.051417927735436</v>
      </c>
      <c r="O134" s="19">
        <f t="shared" si="11"/>
        <v>0.90085696546225724</v>
      </c>
      <c r="P134" s="20">
        <f t="shared" si="12"/>
        <v>34.716819815245096</v>
      </c>
    </row>
    <row r="135" spans="1:16" x14ac:dyDescent="0.25">
      <c r="A135">
        <v>70</v>
      </c>
      <c r="B135" s="33">
        <f t="shared" si="3"/>
        <v>41.501976284584991</v>
      </c>
      <c r="C135" s="40">
        <f t="shared" si="4"/>
        <v>1.2995400694210943</v>
      </c>
      <c r="D135" s="23">
        <f t="shared" si="5"/>
        <v>1.3145400694210942</v>
      </c>
      <c r="E135" s="19">
        <f t="shared" si="0"/>
        <v>6.3439265445161306</v>
      </c>
      <c r="F135" s="19">
        <f t="shared" si="6"/>
        <v>4.8259666571517368</v>
      </c>
      <c r="G135" s="19">
        <f t="shared" si="1"/>
        <v>337.81766600062156</v>
      </c>
      <c r="H135" s="6">
        <f t="shared" si="7"/>
        <v>387.39704399340241</v>
      </c>
      <c r="I135" s="6">
        <f t="shared" si="8"/>
        <v>208.01764405724401</v>
      </c>
      <c r="J135" s="6">
        <f t="shared" si="9"/>
        <v>0.50356516211314239</v>
      </c>
      <c r="K135" s="19">
        <f t="shared" si="2"/>
        <v>100.85763304997219</v>
      </c>
      <c r="L135" s="19">
        <f t="shared" si="10"/>
        <v>59835.118603214585</v>
      </c>
      <c r="M135" s="19">
        <f t="shared" si="13"/>
        <v>81.125764145580817</v>
      </c>
      <c r="N135" s="20">
        <f t="shared" si="14"/>
        <v>62.719692516776249</v>
      </c>
      <c r="O135" s="19">
        <f t="shared" si="11"/>
        <v>1.0453282086129374</v>
      </c>
      <c r="P135" s="20">
        <f t="shared" si="12"/>
        <v>43.383186523461838</v>
      </c>
    </row>
    <row r="136" spans="1:16" x14ac:dyDescent="0.25">
      <c r="A136">
        <v>75</v>
      </c>
      <c r="B136" s="33">
        <f t="shared" si="3"/>
        <v>44.466403162055343</v>
      </c>
      <c r="C136" s="40">
        <f t="shared" si="4"/>
        <v>0.98613592704949593</v>
      </c>
      <c r="D136" s="23">
        <f t="shared" si="5"/>
        <v>1.0011359270494959</v>
      </c>
      <c r="E136" s="19">
        <f t="shared" si="0"/>
        <v>5.526264901000717</v>
      </c>
      <c r="F136" s="19">
        <f t="shared" si="6"/>
        <v>5.519994589833054</v>
      </c>
      <c r="G136" s="19">
        <f t="shared" si="1"/>
        <v>413.99959423747907</v>
      </c>
      <c r="H136" s="6">
        <f t="shared" si="7"/>
        <v>338.68968292736082</v>
      </c>
      <c r="I136" s="6">
        <f t="shared" si="8"/>
        <v>199.12325835748527</v>
      </c>
      <c r="J136" s="6">
        <f t="shared" si="9"/>
        <v>0.54719909904319164</v>
      </c>
      <c r="K136" s="19">
        <f t="shared" si="2"/>
        <v>134.3123744887325</v>
      </c>
      <c r="L136" s="19">
        <f t="shared" si="10"/>
        <v>51579.288586728719</v>
      </c>
      <c r="M136" s="19">
        <f t="shared" si="13"/>
        <v>69.932329012865011</v>
      </c>
      <c r="N136" s="20">
        <f t="shared" si="14"/>
        <v>72.758666188041559</v>
      </c>
      <c r="O136" s="19">
        <f t="shared" si="11"/>
        <v>1.2126444364673592</v>
      </c>
      <c r="P136" s="20">
        <f t="shared" si="12"/>
        <v>53.921936404181004</v>
      </c>
    </row>
    <row r="137" spans="1:16" x14ac:dyDescent="0.25">
      <c r="A137">
        <v>80</v>
      </c>
      <c r="B137" s="33">
        <f t="shared" si="3"/>
        <v>47.430830039525695</v>
      </c>
      <c r="C137" s="40">
        <f t="shared" si="4"/>
        <v>0.76176652995118321</v>
      </c>
      <c r="D137" s="23">
        <f t="shared" si="5"/>
        <v>0.77676652995118323</v>
      </c>
      <c r="E137" s="19">
        <f t="shared" si="0"/>
        <v>4.8570687606451619</v>
      </c>
      <c r="F137" s="19">
        <f t="shared" si="6"/>
        <v>6.2529326037650073</v>
      </c>
      <c r="G137" s="19">
        <f t="shared" si="1"/>
        <v>500.23460830120058</v>
      </c>
      <c r="H137" s="6">
        <f t="shared" si="7"/>
        <v>298.99014364325694</v>
      </c>
      <c r="I137" s="6">
        <f t="shared" si="8"/>
        <v>194.46856941417411</v>
      </c>
      <c r="J137" s="6">
        <f t="shared" si="9"/>
        <v>0.58294470780936447</v>
      </c>
      <c r="K137" s="19">
        <f t="shared" si="2"/>
        <v>172.8907811693332</v>
      </c>
      <c r="L137" s="19">
        <f t="shared" si="10"/>
        <v>45590.776108168422</v>
      </c>
      <c r="M137" s="19">
        <f t="shared" si="13"/>
        <v>61.812972650589003</v>
      </c>
      <c r="N137" s="20">
        <f t="shared" si="14"/>
        <v>82.315778779340988</v>
      </c>
      <c r="O137" s="19">
        <f t="shared" si="11"/>
        <v>1.3719296463223498</v>
      </c>
      <c r="P137" s="20">
        <f t="shared" si="12"/>
        <v>65.071761880901974</v>
      </c>
    </row>
    <row r="138" spans="1:16" x14ac:dyDescent="0.25">
      <c r="A138">
        <v>85</v>
      </c>
      <c r="B138" s="33">
        <f t="shared" si="3"/>
        <v>50.395256916996047</v>
      </c>
      <c r="C138" s="40">
        <f t="shared" si="4"/>
        <v>0.59773148437974577</v>
      </c>
      <c r="D138" s="23">
        <f t="shared" si="5"/>
        <v>0.61273148437974578</v>
      </c>
      <c r="E138" s="19">
        <f t="shared" si="0"/>
        <v>4.3024553727514236</v>
      </c>
      <c r="F138" s="19">
        <f t="shared" si="6"/>
        <v>7.0217631742992639</v>
      </c>
      <c r="G138" s="19">
        <f t="shared" si="1"/>
        <v>596.84986981543739</v>
      </c>
      <c r="H138" s="6">
        <f t="shared" si="7"/>
        <v>266.25295826469932</v>
      </c>
      <c r="I138" s="6">
        <f t="shared" si="8"/>
        <v>189.37497778218662</v>
      </c>
      <c r="J138" s="6">
        <f t="shared" si="9"/>
        <v>0.61959002739293156</v>
      </c>
      <c r="K138" s="19">
        <f t="shared" si="2"/>
        <v>219.25033232514696</v>
      </c>
      <c r="L138" s="19">
        <f t="shared" si="10"/>
        <v>40585.083060176847</v>
      </c>
      <c r="M138" s="19">
        <f t="shared" si="13"/>
        <v>55.026144395272048</v>
      </c>
      <c r="N138" s="20">
        <f t="shared" si="14"/>
        <v>92.468462733807797</v>
      </c>
      <c r="O138" s="19">
        <f t="shared" si="11"/>
        <v>1.5411410455634631</v>
      </c>
      <c r="P138" s="20">
        <f t="shared" si="12"/>
        <v>77.666198936498631</v>
      </c>
    </row>
    <row r="139" spans="1:16" x14ac:dyDescent="0.25">
      <c r="A139">
        <v>90</v>
      </c>
      <c r="B139" s="33">
        <f t="shared" si="3"/>
        <v>53.359683794466406</v>
      </c>
      <c r="C139" s="40">
        <f t="shared" si="4"/>
        <v>0.47556709444902401</v>
      </c>
      <c r="D139" s="23">
        <f t="shared" si="5"/>
        <v>0.49056709444902402</v>
      </c>
      <c r="E139" s="19">
        <f t="shared" si="0"/>
        <v>3.8376839590282761</v>
      </c>
      <c r="F139" s="19">
        <f t="shared" si="6"/>
        <v>7.8229542960653244</v>
      </c>
      <c r="G139" s="19">
        <f t="shared" si="1"/>
        <v>704.06588664587923</v>
      </c>
      <c r="H139" s="6">
        <f t="shared" si="7"/>
        <v>238.98455067437007</v>
      </c>
      <c r="I139" s="6">
        <f t="shared" si="8"/>
        <v>186.20521296405065</v>
      </c>
      <c r="J139" s="6">
        <f t="shared" si="9"/>
        <v>0.65168936555671675</v>
      </c>
      <c r="K139" s="19">
        <f t="shared" si="2"/>
        <v>272.03493141010688</v>
      </c>
      <c r="L139" s="19">
        <f t="shared" si="10"/>
        <v>36671.543730073521</v>
      </c>
      <c r="M139" s="19">
        <f t="shared" si="13"/>
        <v>49.720082067999243</v>
      </c>
      <c r="N139" s="20">
        <f t="shared" si="14"/>
        <v>102.33657650525456</v>
      </c>
      <c r="O139" s="19">
        <f t="shared" si="11"/>
        <v>1.7056096084209094</v>
      </c>
      <c r="P139" s="20">
        <f t="shared" si="12"/>
        <v>91.010789382143386</v>
      </c>
    </row>
    <row r="140" spans="1:16" x14ac:dyDescent="0.25">
      <c r="A140">
        <v>95</v>
      </c>
      <c r="B140" s="33">
        <f t="shared" si="3"/>
        <v>56.324110671936772</v>
      </c>
      <c r="C140" s="40">
        <f>E140^2/(PI()*$B$108*$B$109)</f>
        <v>0.38307817855050791</v>
      </c>
      <c r="D140" s="23">
        <f t="shared" si="5"/>
        <v>0.39807817855050792</v>
      </c>
      <c r="E140" s="19">
        <f t="shared" si="0"/>
        <v>3.4443479299865967</v>
      </c>
      <c r="F140" s="19">
        <f t="shared" si="6"/>
        <v>8.6524409414458265</v>
      </c>
      <c r="G140" s="19">
        <f t="shared" si="1"/>
        <v>821.98188943735352</v>
      </c>
      <c r="H140" s="6">
        <f t="shared" si="7"/>
        <v>216.073733417347</v>
      </c>
      <c r="I140" s="6">
        <f t="shared" si="8"/>
        <v>183.46296965389871</v>
      </c>
      <c r="J140" s="6">
        <f t="shared" si="9"/>
        <v>0.68231693512480596</v>
      </c>
      <c r="K140" s="19">
        <f t="shared" si="2"/>
        <v>332.52104557054878</v>
      </c>
      <c r="L140" s="19">
        <f t="shared" si="10"/>
        <v>33426.96303977738</v>
      </c>
      <c r="M140" s="19">
        <f t="shared" si="13"/>
        <v>45.321008514259695</v>
      </c>
      <c r="N140" s="20">
        <f t="shared" si="14"/>
        <v>112.26985341242806</v>
      </c>
      <c r="O140" s="19">
        <f t="shared" si="11"/>
        <v>1.8711642235404677</v>
      </c>
      <c r="P140" s="20">
        <f t="shared" si="12"/>
        <v>105.39166081206194</v>
      </c>
    </row>
    <row r="141" spans="1:16" x14ac:dyDescent="0.25">
      <c r="A141">
        <v>100</v>
      </c>
      <c r="B141" s="33">
        <f t="shared" si="3"/>
        <v>59.288537549407124</v>
      </c>
      <c r="C141" s="40">
        <f t="shared" si="4"/>
        <v>0.31201957066800468</v>
      </c>
      <c r="D141" s="23">
        <f t="shared" si="5"/>
        <v>0.32701957066800469</v>
      </c>
      <c r="E141" s="19">
        <f t="shared" si="0"/>
        <v>3.1085240068129036</v>
      </c>
      <c r="F141" s="19">
        <f t="shared" si="6"/>
        <v>9.5056207200783263</v>
      </c>
      <c r="G141" s="19">
        <f t="shared" si="1"/>
        <v>950.56207200783263</v>
      </c>
      <c r="H141" s="6">
        <f t="shared" si="7"/>
        <v>196.67997203405139</v>
      </c>
      <c r="I141" s="6">
        <f t="shared" si="8"/>
        <v>181.72653615945268</v>
      </c>
      <c r="J141" s="6">
        <f t="shared" si="9"/>
        <v>0.7099082774609603</v>
      </c>
      <c r="K141" s="19">
        <f t="shared" si="2"/>
        <v>400.0860967344675</v>
      </c>
      <c r="L141" s="19">
        <f t="shared" si="10"/>
        <v>30783.31514060629</v>
      </c>
      <c r="M141" s="19">
        <f t="shared" si="13"/>
        <v>41.736692798696097</v>
      </c>
      <c r="N141" s="20">
        <f t="shared" si="14"/>
        <v>121.91150379213326</v>
      </c>
      <c r="O141" s="19">
        <f t="shared" si="11"/>
        <v>2.0318583965355543</v>
      </c>
      <c r="P141" s="20">
        <f t="shared" si="12"/>
        <v>120.46591283807636</v>
      </c>
    </row>
    <row r="142" spans="1:16" x14ac:dyDescent="0.25">
      <c r="A142">
        <v>105</v>
      </c>
      <c r="B142" s="33">
        <f t="shared" si="3"/>
        <v>62.252964426877476</v>
      </c>
      <c r="C142" s="40">
        <f t="shared" si="4"/>
        <v>0.25669927297206785</v>
      </c>
      <c r="D142" s="23">
        <f t="shared" si="5"/>
        <v>0.27169927297206786</v>
      </c>
      <c r="E142" s="19">
        <f t="shared" si="0"/>
        <v>2.8195229086738349</v>
      </c>
      <c r="F142" s="19">
        <f t="shared" si="6"/>
        <v>10.377366408940288</v>
      </c>
      <c r="G142" s="19">
        <f t="shared" si="1"/>
        <v>1089.6234729387302</v>
      </c>
      <c r="H142" s="6">
        <f t="shared" si="7"/>
        <v>180.15796529846341</v>
      </c>
      <c r="I142" s="6">
        <f t="shared" si="8"/>
        <v>180.57645086256048</v>
      </c>
      <c r="J142" s="6">
        <f t="shared" si="9"/>
        <v>0.73535475129588612</v>
      </c>
      <c r="K142" s="19">
        <f t="shared" si="2"/>
        <v>475.05521617530815</v>
      </c>
      <c r="L142" s="19">
        <f t="shared" si="10"/>
        <v>28582.706846975285</v>
      </c>
      <c r="M142" s="19">
        <f t="shared" si="13"/>
        <v>38.753059882552314</v>
      </c>
      <c r="N142" s="20">
        <f t="shared" si="14"/>
        <v>131.29758005741834</v>
      </c>
      <c r="O142" s="19">
        <f t="shared" si="11"/>
        <v>2.1882930009569725</v>
      </c>
      <c r="P142" s="20">
        <f t="shared" si="12"/>
        <v>136.22772634415938</v>
      </c>
    </row>
    <row r="143" spans="1:16" x14ac:dyDescent="0.25">
      <c r="A143">
        <v>110</v>
      </c>
      <c r="B143" s="33">
        <f t="shared" si="3"/>
        <v>65.217391304347828</v>
      </c>
      <c r="C143" s="40">
        <f t="shared" si="4"/>
        <v>0.21311356510347976</v>
      </c>
      <c r="D143" s="23">
        <f t="shared" si="5"/>
        <v>0.22811356510347974</v>
      </c>
      <c r="E143" s="19">
        <f t="shared" si="0"/>
        <v>2.5690281048040529</v>
      </c>
      <c r="F143" s="19">
        <f t="shared" si="6"/>
        <v>11.262057579252939</v>
      </c>
      <c r="G143" s="19">
        <f t="shared" si="1"/>
        <v>1238.8263337178232</v>
      </c>
      <c r="H143" s="6">
        <f t="shared" si="7"/>
        <v>166.00565254038784</v>
      </c>
      <c r="I143" s="6">
        <f t="shared" si="8"/>
        <v>180.08307305151004</v>
      </c>
      <c r="J143" s="6">
        <f t="shared" si="9"/>
        <v>0.75840343831759738</v>
      </c>
      <c r="K143" s="19">
        <f t="shared" si="2"/>
        <v>557.0336863458383</v>
      </c>
      <c r="L143" s="19">
        <f t="shared" si="10"/>
        <v>26753.01657379829</v>
      </c>
      <c r="M143" s="19">
        <f t="shared" si="13"/>
        <v>36.272325741361101</v>
      </c>
      <c r="N143" s="20">
        <f t="shared" si="14"/>
        <v>140.27727415883115</v>
      </c>
      <c r="O143" s="19">
        <f t="shared" si="11"/>
        <v>2.3379545693138528</v>
      </c>
      <c r="P143" s="20">
        <f t="shared" si="12"/>
        <v>152.47529799872953</v>
      </c>
    </row>
    <row r="144" spans="1:16" x14ac:dyDescent="0.25">
      <c r="A144">
        <v>115</v>
      </c>
      <c r="B144" s="33">
        <f t="shared" si="3"/>
        <v>68.181818181818187</v>
      </c>
      <c r="C144" s="40">
        <f t="shared" si="4"/>
        <v>0.17839820221797645</v>
      </c>
      <c r="D144" s="23">
        <f t="shared" si="5"/>
        <v>0.19339820221797643</v>
      </c>
      <c r="E144" s="19">
        <f t="shared" si="0"/>
        <v>2.3504907423916097</v>
      </c>
      <c r="F144" s="19">
        <f t="shared" si="6"/>
        <v>12.153632843713842</v>
      </c>
      <c r="G144" s="19">
        <f t="shared" si="1"/>
        <v>1397.6677770270919</v>
      </c>
      <c r="H144" s="6">
        <f t="shared" si="7"/>
        <v>153.8276860451885</v>
      </c>
      <c r="I144" s="6">
        <f t="shared" si="8"/>
        <v>180.11978945085184</v>
      </c>
      <c r="J144" s="6">
        <f t="shared" si="9"/>
        <v>0.77934455167501859</v>
      </c>
      <c r="K144" s="19">
        <f t="shared" si="2"/>
        <v>645.80915044138271</v>
      </c>
      <c r="L144" s="19">
        <f t="shared" si="10"/>
        <v>25220.885731870985</v>
      </c>
      <c r="M144" s="19">
        <f t="shared" si="13"/>
        <v>34.195029193382219</v>
      </c>
      <c r="N144" s="20">
        <f t="shared" si="14"/>
        <v>148.79890739745468</v>
      </c>
      <c r="O144" s="19">
        <f t="shared" si="11"/>
        <v>2.4799817899575785</v>
      </c>
      <c r="P144" s="20">
        <f t="shared" si="12"/>
        <v>169.08966749710763</v>
      </c>
    </row>
    <row r="145" spans="1:16" x14ac:dyDescent="0.25">
      <c r="A145">
        <v>120</v>
      </c>
      <c r="B145" s="33">
        <f t="shared" si="3"/>
        <v>71.146245059288546</v>
      </c>
      <c r="C145" s="40">
        <f t="shared" si="4"/>
        <v>0.15047240097801148</v>
      </c>
      <c r="D145" s="23">
        <f t="shared" si="5"/>
        <v>0.16547240097801147</v>
      </c>
      <c r="E145" s="19">
        <f t="shared" si="0"/>
        <v>2.158697226953405</v>
      </c>
      <c r="F145" s="19">
        <f t="shared" si="6"/>
        <v>13.045663290038682</v>
      </c>
      <c r="G145" s="19">
        <f t="shared" si="1"/>
        <v>1565.4795948046419</v>
      </c>
      <c r="H145" s="6">
        <f t="shared" si="7"/>
        <v>143.30932631220477</v>
      </c>
      <c r="I145" s="6">
        <f t="shared" si="8"/>
        <v>180.65469139283948</v>
      </c>
      <c r="J145" s="6">
        <f t="shared" si="9"/>
        <v>0.79825795795221022</v>
      </c>
      <c r="K145" s="19">
        <f t="shared" si="2"/>
        <v>740.90308966281043</v>
      </c>
      <c r="L145" s="19">
        <f t="shared" si="10"/>
        <v>23937.011820062035</v>
      </c>
      <c r="M145" s="19">
        <f t="shared" si="13"/>
        <v>32.45432482789473</v>
      </c>
      <c r="N145" s="20">
        <f t="shared" si="14"/>
        <v>156.7798131491557</v>
      </c>
      <c r="O145" s="19">
        <f t="shared" si="11"/>
        <v>2.6129968858192614</v>
      </c>
      <c r="P145" s="20">
        <f t="shared" si="12"/>
        <v>185.90491677765499</v>
      </c>
    </row>
    <row r="146" spans="1:16" x14ac:dyDescent="0.25">
      <c r="A146">
        <v>125</v>
      </c>
      <c r="B146" s="33">
        <f t="shared" si="3"/>
        <v>74.110671936758891</v>
      </c>
      <c r="C146" s="40">
        <f t="shared" si="4"/>
        <v>0.12780321614561468</v>
      </c>
      <c r="D146" s="23">
        <f t="shared" si="5"/>
        <v>0.1428032161456147</v>
      </c>
      <c r="E146" s="19">
        <f t="shared" si="0"/>
        <v>1.9894553643602582</v>
      </c>
      <c r="F146" s="19">
        <f t="shared" si="6"/>
        <v>13.931446490194134</v>
      </c>
      <c r="G146" s="19">
        <f t="shared" si="1"/>
        <v>1741.4308112742667</v>
      </c>
      <c r="H146" s="6">
        <f t="shared" si="7"/>
        <v>134.19749476174115</v>
      </c>
      <c r="I146" s="6">
        <f t="shared" si="8"/>
        <v>181.62999689495661</v>
      </c>
      <c r="J146" s="6">
        <f t="shared" si="9"/>
        <v>0.81531488286073794</v>
      </c>
      <c r="K146" s="19">
        <f t="shared" si="2"/>
        <v>841.78722800641822</v>
      </c>
      <c r="L146" s="19">
        <f t="shared" si="10"/>
        <v>22860.543001168695</v>
      </c>
      <c r="M146" s="19">
        <f t="shared" si="13"/>
        <v>30.994824829395164</v>
      </c>
      <c r="N146" s="20">
        <f t="shared" si="14"/>
        <v>164.1623403392737</v>
      </c>
      <c r="O146" s="19">
        <f t="shared" si="11"/>
        <v>2.7360390056545616</v>
      </c>
      <c r="P146" s="20">
        <f t="shared" si="12"/>
        <v>202.76968915424121</v>
      </c>
    </row>
    <row r="147" spans="1:16" x14ac:dyDescent="0.25">
      <c r="A147">
        <v>130</v>
      </c>
      <c r="B147" s="33">
        <f t="shared" si="3"/>
        <v>77.075098814229264</v>
      </c>
      <c r="C147" s="40">
        <f t="shared" si="4"/>
        <v>0.10924672478834938</v>
      </c>
      <c r="D147" s="23">
        <f t="shared" si="5"/>
        <v>0.12424672478834937</v>
      </c>
      <c r="E147" s="19">
        <f t="shared" si="0"/>
        <v>1.8393633176407713</v>
      </c>
      <c r="F147" s="19">
        <f t="shared" si="6"/>
        <v>14.804119149008333</v>
      </c>
      <c r="G147" s="19">
        <f t="shared" si="1"/>
        <v>1924.5354893710833</v>
      </c>
      <c r="H147" s="6">
        <f t="shared" si="7"/>
        <v>126.28682588768133</v>
      </c>
      <c r="I147" s="6">
        <f t="shared" si="8"/>
        <v>183.00561110236254</v>
      </c>
      <c r="J147" s="6">
        <f t="shared" si="9"/>
        <v>0.83065603547590061</v>
      </c>
      <c r="K147" s="19">
        <f t="shared" si="2"/>
        <v>947.80258086975687</v>
      </c>
      <c r="L147" s="19">
        <f t="shared" si="10"/>
        <v>21960.269506195193</v>
      </c>
      <c r="M147" s="19">
        <f t="shared" si="13"/>
        <v>29.774214309608972</v>
      </c>
      <c r="N147" s="20">
        <f t="shared" si="14"/>
        <v>170.89226702977149</v>
      </c>
      <c r="O147" s="19">
        <f t="shared" si="11"/>
        <v>2.8482044504961914</v>
      </c>
      <c r="P147" s="20">
        <f t="shared" si="12"/>
        <v>219.52563946512151</v>
      </c>
    </row>
    <row r="148" spans="1:16" x14ac:dyDescent="0.25">
      <c r="A148">
        <v>135</v>
      </c>
      <c r="B148" s="33">
        <f t="shared" si="3"/>
        <v>80.039525691699609</v>
      </c>
      <c r="C148" s="40">
        <f t="shared" si="4"/>
        <v>9.3939179150424518E-2</v>
      </c>
      <c r="D148" s="23">
        <f t="shared" si="5"/>
        <v>0.10893917915042452</v>
      </c>
      <c r="E148" s="19">
        <f t="shared" si="0"/>
        <v>1.7056373151236786</v>
      </c>
      <c r="F148" s="19">
        <f t="shared" si="6"/>
        <v>15.656785083431869</v>
      </c>
      <c r="G148" s="19">
        <f t="shared" si="1"/>
        <v>2113.6659862633023</v>
      </c>
      <c r="H148" s="6">
        <f t="shared" si="7"/>
        <v>119.40926616982775</v>
      </c>
      <c r="I148" s="6">
        <f t="shared" si="8"/>
        <v>184.74220090442515</v>
      </c>
      <c r="J148" s="6">
        <f t="shared" si="9"/>
        <v>0.84443029176716755</v>
      </c>
      <c r="K148" s="19">
        <f t="shared" si="2"/>
        <v>1058.2076593746986</v>
      </c>
      <c r="L148" s="19">
        <f t="shared" si="10"/>
        <v>21211.211985290574</v>
      </c>
      <c r="M148" s="19">
        <f t="shared" si="13"/>
        <v>28.758625718979577</v>
      </c>
      <c r="N148" s="20">
        <f t="shared" si="14"/>
        <v>176.92719506556034</v>
      </c>
      <c r="O148" s="19">
        <f t="shared" si="11"/>
        <v>2.9487865844260059</v>
      </c>
      <c r="P148" s="20">
        <f t="shared" si="12"/>
        <v>236.01947958350445</v>
      </c>
    </row>
    <row r="149" spans="1:16" x14ac:dyDescent="0.25">
      <c r="A149">
        <v>140</v>
      </c>
      <c r="B149" s="33">
        <f t="shared" si="3"/>
        <v>83.003952569169982</v>
      </c>
      <c r="C149" s="40">
        <f t="shared" si="4"/>
        <v>8.1221254338818397E-2</v>
      </c>
      <c r="D149" s="23">
        <f t="shared" si="5"/>
        <v>9.6221254338818396E-2</v>
      </c>
      <c r="E149" s="19">
        <f t="shared" si="0"/>
        <v>1.5859816361290326</v>
      </c>
      <c r="F149" s="19">
        <f t="shared" si="6"/>
        <v>16.482653931577385</v>
      </c>
      <c r="G149" s="19">
        <f t="shared" si="1"/>
        <v>2307.5715504208338</v>
      </c>
      <c r="H149" s="6">
        <f t="shared" si="7"/>
        <v>113.426225239711</v>
      </c>
      <c r="I149" s="6">
        <f t="shared" si="8"/>
        <v>186.80569945449071</v>
      </c>
      <c r="J149" s="6">
        <f t="shared" si="9"/>
        <v>0.85677820327913656</v>
      </c>
      <c r="K149" s="19">
        <f t="shared" si="2"/>
        <v>1172.1800436211149</v>
      </c>
      <c r="L149" s="19">
        <f t="shared" si="10"/>
        <v>20593.520486636862</v>
      </c>
      <c r="M149" s="19">
        <f t="shared" si="13"/>
        <v>27.921146058133392</v>
      </c>
      <c r="N149" s="20">
        <f t="shared" si="14"/>
        <v>182.23403050166559</v>
      </c>
      <c r="O149" s="19">
        <f t="shared" si="11"/>
        <v>3.0372338416944267</v>
      </c>
      <c r="P149" s="20">
        <f t="shared" si="12"/>
        <v>252.10241373748212</v>
      </c>
    </row>
    <row r="150" spans="1:16" x14ac:dyDescent="0.25">
      <c r="A150">
        <v>145</v>
      </c>
      <c r="B150" s="33">
        <f t="shared" si="3"/>
        <v>85.968379446640313</v>
      </c>
      <c r="C150" s="40">
        <f t="shared" si="4"/>
        <v>7.0584578557717145E-2</v>
      </c>
      <c r="D150" s="23">
        <f t="shared" si="5"/>
        <v>8.5584578557717145E-2</v>
      </c>
      <c r="E150" s="19">
        <f t="shared" si="0"/>
        <v>1.4784894206006676</v>
      </c>
      <c r="F150" s="19">
        <f t="shared" si="6"/>
        <v>17.275184916679741</v>
      </c>
      <c r="G150" s="19">
        <f t="shared" si="1"/>
        <v>2504.9018129185624</v>
      </c>
      <c r="H150" s="6">
        <f t="shared" si="7"/>
        <v>108.22258785700058</v>
      </c>
      <c r="I150" s="6">
        <f t="shared" si="8"/>
        <v>189.1650946889709</v>
      </c>
      <c r="J150" s="6">
        <f t="shared" si="9"/>
        <v>0.86783450638350434</v>
      </c>
      <c r="K150" s="19">
        <f t="shared" si="2"/>
        <v>1288.8380800513789</v>
      </c>
      <c r="L150" s="19">
        <f t="shared" si="10"/>
        <v>20091.228510400037</v>
      </c>
      <c r="M150" s="19">
        <f t="shared" si="13"/>
        <v>27.240127596941317</v>
      </c>
      <c r="N150" s="20">
        <f t="shared" si="14"/>
        <v>186.78998342763532</v>
      </c>
      <c r="O150" s="19">
        <f t="shared" si="11"/>
        <v>3.1131663904605884</v>
      </c>
      <c r="P150" s="20">
        <f t="shared" si="12"/>
        <v>267.63386953564344</v>
      </c>
    </row>
    <row r="151" spans="1:16" x14ac:dyDescent="0.25">
      <c r="A151">
        <v>150</v>
      </c>
      <c r="B151" s="33">
        <f t="shared" si="3"/>
        <v>88.932806324110686</v>
      </c>
      <c r="C151" s="40">
        <f t="shared" si="4"/>
        <v>6.1633495440593496E-2</v>
      </c>
      <c r="D151" s="23">
        <f t="shared" si="5"/>
        <v>7.6633495440593502E-2</v>
      </c>
      <c r="E151" s="19">
        <f t="shared" si="0"/>
        <v>1.3815662252501792</v>
      </c>
      <c r="F151" s="19">
        <f t="shared" si="6"/>
        <v>18.028229265898137</v>
      </c>
      <c r="G151" s="19">
        <f t="shared" si="1"/>
        <v>2704.2343898847207</v>
      </c>
      <c r="H151" s="6">
        <f t="shared" si="7"/>
        <v>103.70209907013658</v>
      </c>
      <c r="I151" s="6">
        <f t="shared" si="8"/>
        <v>191.79245838314085</v>
      </c>
      <c r="J151" s="6">
        <f t="shared" si="9"/>
        <v>0.87772562747334659</v>
      </c>
      <c r="K151" s="19">
        <f t="shared" si="2"/>
        <v>1407.2583952746459</v>
      </c>
      <c r="L151" s="19">
        <f t="shared" si="10"/>
        <v>19691.441878152225</v>
      </c>
      <c r="M151" s="19">
        <f t="shared" si="13"/>
        <v>26.698088125918201</v>
      </c>
      <c r="N151" s="20">
        <f t="shared" si="14"/>
        <v>190.5822978185389</v>
      </c>
      <c r="O151" s="19">
        <f t="shared" si="11"/>
        <v>3.176371630308982</v>
      </c>
      <c r="P151" s="20">
        <f t="shared" si="12"/>
        <v>282.48364301166839</v>
      </c>
    </row>
    <row r="152" spans="1:16" x14ac:dyDescent="0.25">
      <c r="A152">
        <v>155</v>
      </c>
      <c r="B152" s="33">
        <f t="shared" si="3"/>
        <v>91.897233201581045</v>
      </c>
      <c r="C152" s="40">
        <f t="shared" si="4"/>
        <v>5.4057386141604526E-2</v>
      </c>
      <c r="D152" s="23">
        <f t="shared" si="5"/>
        <v>6.9057386141604532E-2</v>
      </c>
      <c r="E152" s="19">
        <f t="shared" si="0"/>
        <v>1.293870554344601</v>
      </c>
      <c r="F152" s="19">
        <f t="shared" si="6"/>
        <v>18.736164610856761</v>
      </c>
      <c r="G152" s="19">
        <f t="shared" si="1"/>
        <v>2904.105514682798</v>
      </c>
      <c r="H152" s="6">
        <f t="shared" si="7"/>
        <v>99.783774119276032</v>
      </c>
      <c r="I152" s="6">
        <f t="shared" si="8"/>
        <v>194.66247157786148</v>
      </c>
      <c r="J152" s="6">
        <f t="shared" si="9"/>
        <v>0.88656926378491963</v>
      </c>
      <c r="K152" s="19">
        <f t="shared" si="2"/>
        <v>1526.4964553988461</v>
      </c>
      <c r="L152" s="19">
        <f t="shared" si="10"/>
        <v>19383.689489951725</v>
      </c>
      <c r="M152" s="19">
        <f t="shared" si="13"/>
        <v>26.280830698453993</v>
      </c>
      <c r="N152" s="20">
        <f t="shared" si="14"/>
        <v>193.60814887402549</v>
      </c>
      <c r="O152" s="19">
        <f t="shared" si="11"/>
        <v>3.2268024812337579</v>
      </c>
      <c r="P152" s="20">
        <f t="shared" si="12"/>
        <v>296.53422011337898</v>
      </c>
    </row>
    <row r="153" spans="1:16" x14ac:dyDescent="0.25">
      <c r="A153">
        <v>160</v>
      </c>
      <c r="B153" s="33">
        <f t="shared" si="3"/>
        <v>94.86166007905139</v>
      </c>
      <c r="C153" s="40">
        <f t="shared" si="4"/>
        <v>4.7610408121948951E-2</v>
      </c>
      <c r="D153" s="23">
        <f t="shared" si="5"/>
        <v>6.2610408121948957E-2</v>
      </c>
      <c r="E153" s="19">
        <f t="shared" si="0"/>
        <v>1.2142671901612905</v>
      </c>
      <c r="F153" s="19">
        <f t="shared" si="6"/>
        <v>19.394014934325465</v>
      </c>
      <c r="G153" s="19">
        <f t="shared" si="1"/>
        <v>3103.0423894920746</v>
      </c>
      <c r="H153" s="6">
        <f t="shared" si="7"/>
        <v>96.39908104238701</v>
      </c>
      <c r="I153" s="6">
        <f t="shared" si="8"/>
        <v>197.752179934992</v>
      </c>
      <c r="J153" s="6">
        <f t="shared" si="9"/>
        <v>0.89447393460508884</v>
      </c>
      <c r="K153" s="19">
        <f t="shared" si="2"/>
        <v>1645.6070367838058</v>
      </c>
      <c r="L153" s="19">
        <f t="shared" si="10"/>
        <v>19159.434103691063</v>
      </c>
      <c r="M153" s="19">
        <f t="shared" si="13"/>
        <v>25.976780334740312</v>
      </c>
      <c r="N153" s="20">
        <f t="shared" si="14"/>
        <v>195.87427374879888</v>
      </c>
      <c r="O153" s="19">
        <f t="shared" si="11"/>
        <v>3.2645712291466484</v>
      </c>
      <c r="P153" s="20">
        <f t="shared" si="12"/>
        <v>309.68264624316032</v>
      </c>
    </row>
    <row r="154" spans="1:16" x14ac:dyDescent="0.25">
      <c r="A154">
        <v>165</v>
      </c>
      <c r="B154" s="33">
        <f t="shared" si="3"/>
        <v>97.826086956521749</v>
      </c>
      <c r="C154" s="40">
        <f t="shared" si="4"/>
        <v>4.209650668710712E-2</v>
      </c>
      <c r="D154" s="23">
        <f t="shared" si="5"/>
        <v>5.7096506687107119E-2</v>
      </c>
      <c r="E154" s="19">
        <f t="shared" si="0"/>
        <v>1.1417902688018013</v>
      </c>
      <c r="F154" s="19">
        <f t="shared" si="6"/>
        <v>19.997550376573692</v>
      </c>
      <c r="G154" s="19">
        <f t="shared" si="1"/>
        <v>3299.5958121346594</v>
      </c>
      <c r="H154" s="6">
        <f t="shared" si="7"/>
        <v>93.489711598947821</v>
      </c>
      <c r="I154" s="6">
        <f t="shared" si="8"/>
        <v>201.04075780285348</v>
      </c>
      <c r="J154" s="6">
        <f t="shared" si="9"/>
        <v>0.90153894877940133</v>
      </c>
      <c r="K154" s="19">
        <f t="shared" si="2"/>
        <v>1763.664509803634</v>
      </c>
      <c r="L154" s="19">
        <f t="shared" si="10"/>
        <v>19011.691600249487</v>
      </c>
      <c r="M154" s="19">
        <f t="shared" si="13"/>
        <v>25.776467813126374</v>
      </c>
      <c r="N154" s="20">
        <f t="shared" si="14"/>
        <v>197.39644001216644</v>
      </c>
      <c r="O154" s="19">
        <f t="shared" si="11"/>
        <v>3.2899406668694406</v>
      </c>
      <c r="P154" s="20">
        <f t="shared" si="12"/>
        <v>321.84202175896706</v>
      </c>
    </row>
    <row r="155" spans="1:16" x14ac:dyDescent="0.25">
      <c r="A155">
        <v>170</v>
      </c>
      <c r="B155" s="33">
        <f t="shared" si="3"/>
        <v>100.79051383399209</v>
      </c>
      <c r="C155" s="40">
        <f t="shared" si="4"/>
        <v>3.7358217773734111E-2</v>
      </c>
      <c r="D155" s="23">
        <f t="shared" si="5"/>
        <v>5.235821777373411E-2</v>
      </c>
      <c r="E155" s="19">
        <f t="shared" si="0"/>
        <v>1.0756138431878559</v>
      </c>
      <c r="F155" s="19">
        <f t="shared" si="6"/>
        <v>20.543362416118097</v>
      </c>
      <c r="G155" s="19">
        <f t="shared" si="1"/>
        <v>3492.3716107400764</v>
      </c>
      <c r="H155" s="6">
        <f t="shared" si="7"/>
        <v>91.00580418736439</v>
      </c>
      <c r="I155" s="6">
        <f t="shared" si="8"/>
        <v>204.50931611032559</v>
      </c>
      <c r="J155" s="6">
        <f t="shared" si="9"/>
        <v>0.90785458565159005</v>
      </c>
      <c r="K155" s="19">
        <f t="shared" si="2"/>
        <v>1879.7819653813092</v>
      </c>
      <c r="L155" s="19">
        <f t="shared" si="10"/>
        <v>18934.734160155578</v>
      </c>
      <c r="M155" s="19">
        <f t="shared" si="13"/>
        <v>25.672127230537964</v>
      </c>
      <c r="N155" s="20">
        <f t="shared" si="14"/>
        <v>198.19872878889268</v>
      </c>
      <c r="O155" s="19">
        <f t="shared" si="11"/>
        <v>3.3033121464815447</v>
      </c>
      <c r="P155" s="20">
        <f t="shared" si="12"/>
        <v>332.94252859794227</v>
      </c>
    </row>
    <row r="156" spans="1:16" x14ac:dyDescent="0.25">
      <c r="A156">
        <v>175</v>
      </c>
      <c r="B156" s="33">
        <f t="shared" si="3"/>
        <v>103.75494071146245</v>
      </c>
      <c r="C156" s="40">
        <f t="shared" si="4"/>
        <v>3.3268225777179999E-2</v>
      </c>
      <c r="D156" s="23">
        <f t="shared" si="5"/>
        <v>4.8268225777179999E-2</v>
      </c>
      <c r="E156" s="19">
        <f t="shared" si="0"/>
        <v>1.0150282471225807</v>
      </c>
      <c r="F156" s="19">
        <f t="shared" si="6"/>
        <v>21.028911479121746</v>
      </c>
      <c r="G156" s="19">
        <f t="shared" si="1"/>
        <v>3680.0595088463056</v>
      </c>
      <c r="H156" s="6">
        <f t="shared" si="7"/>
        <v>88.904516966913647</v>
      </c>
      <c r="I156" s="6">
        <f t="shared" si="8"/>
        <v>208.14073254820494</v>
      </c>
      <c r="J156" s="6">
        <f t="shared" si="9"/>
        <v>0.91350245553953124</v>
      </c>
      <c r="K156" s="19">
        <f t="shared" si="2"/>
        <v>1993.1284967565423</v>
      </c>
      <c r="L156" s="19">
        <f t="shared" si="10"/>
        <v>18923.856531970894</v>
      </c>
      <c r="M156" s="19">
        <f t="shared" si="13"/>
        <v>25.657379104033428</v>
      </c>
      <c r="N156" s="20">
        <f t="shared" si="14"/>
        <v>198.31265546524432</v>
      </c>
      <c r="O156" s="19">
        <f t="shared" si="11"/>
        <v>3.3052109244207384</v>
      </c>
      <c r="P156" s="20">
        <f t="shared" si="12"/>
        <v>342.93196350215175</v>
      </c>
    </row>
    <row r="157" spans="1:16" x14ac:dyDescent="0.25">
      <c r="A157">
        <v>180</v>
      </c>
      <c r="B157" s="33">
        <f t="shared" si="3"/>
        <v>106.71936758893281</v>
      </c>
      <c r="C157" s="40">
        <f t="shared" si="4"/>
        <v>2.9722943403064001E-2</v>
      </c>
      <c r="D157" s="23">
        <f t="shared" si="5"/>
        <v>4.4722943403064E-2</v>
      </c>
      <c r="E157" s="19">
        <f t="shared" si="0"/>
        <v>0.95942098975706902</v>
      </c>
      <c r="F157" s="19">
        <f t="shared" si="6"/>
        <v>21.452545757338019</v>
      </c>
      <c r="G157" s="19">
        <f t="shared" si="1"/>
        <v>3861.4582363208433</v>
      </c>
      <c r="H157" s="6">
        <f t="shared" si="7"/>
        <v>87.148874475739291</v>
      </c>
      <c r="I157" s="6">
        <f t="shared" si="8"/>
        <v>211.91949983204091</v>
      </c>
      <c r="J157" s="6">
        <f t="shared" si="9"/>
        <v>0.91855597936382294</v>
      </c>
      <c r="K157" s="19">
        <f t="shared" si="2"/>
        <v>2102.9440031835138</v>
      </c>
      <c r="L157" s="19">
        <f t="shared" si="10"/>
        <v>18975.190719698367</v>
      </c>
      <c r="M157" s="19">
        <f t="shared" si="13"/>
        <v>25.726979119933791</v>
      </c>
      <c r="N157" s="20">
        <f t="shared" si="14"/>
        <v>197.77615392305859</v>
      </c>
      <c r="O157" s="19">
        <f t="shared" si="11"/>
        <v>3.2962692320509763</v>
      </c>
      <c r="P157" s="20">
        <f t="shared" si="12"/>
        <v>351.77576784733742</v>
      </c>
    </row>
    <row r="158" spans="1:16" x14ac:dyDescent="0.25">
      <c r="A158">
        <v>185</v>
      </c>
      <c r="B158" s="33">
        <f t="shared" si="3"/>
        <v>109.68379446640316</v>
      </c>
      <c r="C158" s="40">
        <f t="shared" si="4"/>
        <v>2.663758946370175E-2</v>
      </c>
      <c r="D158" s="23">
        <f t="shared" si="5"/>
        <v>4.1637589463701746E-2</v>
      </c>
      <c r="E158" s="19">
        <f t="shared" si="0"/>
        <v>0.90826121455453712</v>
      </c>
      <c r="F158" s="19">
        <f t="shared" si="6"/>
        <v>21.813491757161611</v>
      </c>
      <c r="G158" s="19">
        <f t="shared" si="1"/>
        <v>4035.4959750748981</v>
      </c>
      <c r="H158" s="6">
        <f t="shared" si="7"/>
        <v>85.706829434013272</v>
      </c>
      <c r="I158" s="6">
        <f t="shared" si="8"/>
        <v>215.8315872125211</v>
      </c>
      <c r="J158" s="6">
        <f t="shared" si="9"/>
        <v>0.9230809442266481</v>
      </c>
      <c r="K158" s="19">
        <f t="shared" si="2"/>
        <v>2208.5510484752813</v>
      </c>
      <c r="L158" s="19">
        <f t="shared" si="10"/>
        <v>19085.55804277131</v>
      </c>
      <c r="M158" s="19">
        <f t="shared" si="13"/>
        <v>25.87661755351607</v>
      </c>
      <c r="N158" s="20">
        <f t="shared" si="14"/>
        <v>196.63246063270611</v>
      </c>
      <c r="O158" s="19">
        <f t="shared" si="11"/>
        <v>3.2772076772117686</v>
      </c>
      <c r="P158" s="20">
        <f t="shared" si="12"/>
        <v>359.45657329101414</v>
      </c>
    </row>
    <row r="159" spans="1:16" x14ac:dyDescent="0.25">
      <c r="A159">
        <v>190</v>
      </c>
      <c r="B159" s="33">
        <f t="shared" si="3"/>
        <v>112.64822134387354</v>
      </c>
      <c r="C159" s="40">
        <f t="shared" si="4"/>
        <v>2.3942386159406744E-2</v>
      </c>
      <c r="D159" s="23">
        <f t="shared" si="5"/>
        <v>3.8942386159406747E-2</v>
      </c>
      <c r="E159" s="19">
        <f t="shared" ref="E159:E190" si="15">$D$6/(0.5*$B$124*A159^2*$B$111)</f>
        <v>0.86108698249664917</v>
      </c>
      <c r="F159" s="19">
        <f t="shared" si="6"/>
        <v>22.111818699857682</v>
      </c>
      <c r="G159" s="19">
        <f t="shared" ref="G159:G190" si="16">A159*F159</f>
        <v>4201.2455529729596</v>
      </c>
      <c r="H159" s="6">
        <f t="shared" si="7"/>
        <v>84.550495043781154</v>
      </c>
      <c r="I159" s="6">
        <f t="shared" si="8"/>
        <v>219.86431266779056</v>
      </c>
      <c r="J159" s="6">
        <f t="shared" si="9"/>
        <v>0.92713609908263306</v>
      </c>
      <c r="K159" s="19">
        <f t="shared" ref="K159:K190" si="17">F159*B159*J159</f>
        <v>2309.3634861294136</v>
      </c>
      <c r="L159" s="19">
        <f t="shared" si="10"/>
        <v>19252.350298244888</v>
      </c>
      <c r="M159" s="19">
        <f t="shared" si="13"/>
        <v>26.102758146109998</v>
      </c>
      <c r="N159" s="20">
        <f t="shared" si="14"/>
        <v>194.92894022609693</v>
      </c>
      <c r="O159" s="19">
        <f t="shared" si="11"/>
        <v>3.2488156704349489</v>
      </c>
      <c r="P159" s="20">
        <f t="shared" si="12"/>
        <v>365.97330674860103</v>
      </c>
    </row>
    <row r="160" spans="1:16" x14ac:dyDescent="0.25">
      <c r="A160">
        <v>195</v>
      </c>
      <c r="B160" s="33">
        <f t="shared" si="3"/>
        <v>115.61264822134387</v>
      </c>
      <c r="C160" s="40">
        <f t="shared" si="4"/>
        <v>2.1579599958192475E-2</v>
      </c>
      <c r="D160" s="23">
        <f t="shared" si="5"/>
        <v>3.6579599958192474E-2</v>
      </c>
      <c r="E160" s="19">
        <f t="shared" si="15"/>
        <v>0.8174948078403429</v>
      </c>
      <c r="F160" s="19">
        <f t="shared" si="6"/>
        <v>22.348380211229028</v>
      </c>
      <c r="G160" s="19">
        <f t="shared" si="16"/>
        <v>4357.9341411896603</v>
      </c>
      <c r="H160" s="6">
        <f t="shared" si="7"/>
        <v>83.655513273035083</v>
      </c>
      <c r="I160" s="6">
        <f t="shared" ref="I160:I191" si="18">A160+(H160/($D$25*$B$77*I159))</f>
        <v>224.00622419166132</v>
      </c>
      <c r="J160" s="6">
        <f t="shared" ref="J160:J191" si="19">2/(1+(I160/A160))</f>
        <v>0.93077376297304526</v>
      </c>
      <c r="K160" s="19">
        <f t="shared" si="17"/>
        <v>2404.8917545753793</v>
      </c>
      <c r="L160" s="19">
        <f t="shared" ref="L160:L191" si="20">H160*A160/J160/$B$33</f>
        <v>19473.433749638796</v>
      </c>
      <c r="M160" s="19">
        <f t="shared" si="13"/>
        <v>26.402507931068385</v>
      </c>
      <c r="N160" s="20">
        <f t="shared" si="14"/>
        <v>192.71589637179761</v>
      </c>
      <c r="O160" s="19">
        <f t="shared" ref="O160:O191" si="21">$F$13/L160/3600</f>
        <v>3.211931606196627</v>
      </c>
      <c r="P160" s="20">
        <f t="shared" ref="P160:P191" si="22">B160*O160</f>
        <v>371.33991889822664</v>
      </c>
    </row>
    <row r="161" spans="1:16" x14ac:dyDescent="0.25">
      <c r="A161">
        <v>200</v>
      </c>
      <c r="B161" s="33">
        <f t="shared" si="3"/>
        <v>118.57707509881425</v>
      </c>
      <c r="C161" s="40">
        <f t="shared" si="4"/>
        <v>1.9501223166750292E-2</v>
      </c>
      <c r="D161" s="23">
        <f t="shared" si="5"/>
        <v>3.4501223166750292E-2</v>
      </c>
      <c r="E161" s="19">
        <f t="shared" si="15"/>
        <v>0.77713100170322591</v>
      </c>
      <c r="F161" s="19">
        <f t="shared" si="6"/>
        <v>22.524737686754449</v>
      </c>
      <c r="G161" s="19">
        <f t="shared" si="16"/>
        <v>4504.9475373508894</v>
      </c>
      <c r="H161" s="6">
        <f t="shared" si="7"/>
        <v>83.00053227659528</v>
      </c>
      <c r="I161" s="6">
        <f t="shared" si="18"/>
        <v>228.24698929703089</v>
      </c>
      <c r="J161" s="6">
        <f t="shared" si="19"/>
        <v>0.93404042526160325</v>
      </c>
      <c r="K161" s="19">
        <f t="shared" si="17"/>
        <v>2494.7449289931451</v>
      </c>
      <c r="L161" s="19">
        <f t="shared" si="20"/>
        <v>19747.071143057201</v>
      </c>
      <c r="M161" s="19">
        <f t="shared" si="13"/>
        <v>26.773511501514726</v>
      </c>
      <c r="N161" s="20">
        <f t="shared" si="14"/>
        <v>190.04541044649571</v>
      </c>
      <c r="O161" s="19">
        <f t="shared" si="21"/>
        <v>3.1674235074415953</v>
      </c>
      <c r="P161" s="20">
        <f t="shared" si="22"/>
        <v>375.58381511165169</v>
      </c>
    </row>
    <row r="162" spans="1:16" x14ac:dyDescent="0.25">
      <c r="A162">
        <v>205</v>
      </c>
      <c r="B162" s="33">
        <f t="shared" si="3"/>
        <v>121.54150197628461</v>
      </c>
      <c r="C162" s="40">
        <f t="shared" si="4"/>
        <v>1.7667145702301341E-2</v>
      </c>
      <c r="D162" s="23">
        <f t="shared" si="5"/>
        <v>3.2667145702301337E-2</v>
      </c>
      <c r="E162" s="19">
        <f t="shared" si="15"/>
        <v>0.73968447514881697</v>
      </c>
      <c r="F162" s="19">
        <f t="shared" si="6"/>
        <v>22.643070254427144</v>
      </c>
      <c r="G162" s="19">
        <f t="shared" si="16"/>
        <v>4641.8294021575648</v>
      </c>
      <c r="H162" s="6">
        <f t="shared" si="7"/>
        <v>82.56677192554173</v>
      </c>
      <c r="I162" s="6">
        <f t="shared" si="18"/>
        <v>232.57729224388979</v>
      </c>
      <c r="J162" s="6">
        <f t="shared" si="19"/>
        <v>0.93697732324619987</v>
      </c>
      <c r="K162" s="19">
        <f t="shared" si="17"/>
        <v>2578.6297756121171</v>
      </c>
      <c r="L162" s="19">
        <f t="shared" si="20"/>
        <v>20071.858049165206</v>
      </c>
      <c r="M162" s="19">
        <f t="shared" si="13"/>
        <v>27.213864701400848</v>
      </c>
      <c r="N162" s="20">
        <f t="shared" si="14"/>
        <v>186.97024616784486</v>
      </c>
      <c r="O162" s="19">
        <f t="shared" si="21"/>
        <v>3.1161707694640812</v>
      </c>
      <c r="P162" s="20">
        <f t="shared" si="22"/>
        <v>378.74407573525895</v>
      </c>
    </row>
    <row r="163" spans="1:16" x14ac:dyDescent="0.25">
      <c r="A163">
        <v>210</v>
      </c>
      <c r="B163" s="33">
        <f t="shared" si="3"/>
        <v>124.50592885375495</v>
      </c>
      <c r="C163" s="40">
        <f t="shared" si="4"/>
        <v>1.6043704560754241E-2</v>
      </c>
      <c r="D163" s="23">
        <f t="shared" si="5"/>
        <v>3.104370456075424E-2</v>
      </c>
      <c r="E163" s="19">
        <f t="shared" si="15"/>
        <v>0.70488072716845873</v>
      </c>
      <c r="F163" s="19">
        <f t="shared" si="6"/>
        <v>22.706076389464677</v>
      </c>
      <c r="G163" s="19">
        <f t="shared" si="16"/>
        <v>4768.2760417875825</v>
      </c>
      <c r="H163" s="6">
        <f t="shared" si="7"/>
        <v>82.337660867676746</v>
      </c>
      <c r="I163" s="6">
        <f t="shared" si="18"/>
        <v>236.98873870048072</v>
      </c>
      <c r="J163" s="6">
        <f t="shared" si="19"/>
        <v>0.93962098736772559</v>
      </c>
      <c r="K163" s="19">
        <f t="shared" si="17"/>
        <v>2656.3471793041413</v>
      </c>
      <c r="L163" s="19">
        <f t="shared" si="20"/>
        <v>20446.670654883757</v>
      </c>
      <c r="M163" s="19">
        <f t="shared" si="13"/>
        <v>27.72204384034351</v>
      </c>
      <c r="N163" s="20">
        <f t="shared" si="14"/>
        <v>183.54285173572148</v>
      </c>
      <c r="O163" s="19">
        <f t="shared" si="21"/>
        <v>3.0590475289286916</v>
      </c>
      <c r="P163" s="20">
        <f t="shared" si="22"/>
        <v>380.86955399705056</v>
      </c>
    </row>
    <row r="164" spans="1:16" x14ac:dyDescent="0.25">
      <c r="A164">
        <v>215</v>
      </c>
      <c r="B164" s="33">
        <f t="shared" si="3"/>
        <v>127.47035573122528</v>
      </c>
      <c r="C164" s="40">
        <f t="shared" si="4"/>
        <v>1.4602526238549933E-2</v>
      </c>
      <c r="D164" s="23">
        <f t="shared" si="5"/>
        <v>2.9602526238549934E-2</v>
      </c>
      <c r="E164" s="19">
        <f t="shared" si="15"/>
        <v>0.67247679974319174</v>
      </c>
      <c r="F164" s="19">
        <f t="shared" si="6"/>
        <v>22.716872010317072</v>
      </c>
      <c r="G164" s="19">
        <f t="shared" si="16"/>
        <v>4884.1274822181704</v>
      </c>
      <c r="H164" s="6">
        <f t="shared" si="7"/>
        <v>82.298531969640209</v>
      </c>
      <c r="I164" s="6">
        <f t="shared" si="18"/>
        <v>241.47376762168443</v>
      </c>
      <c r="J164" s="6">
        <f t="shared" si="19"/>
        <v>0.94200374808038201</v>
      </c>
      <c r="K164" s="19">
        <f t="shared" si="17"/>
        <v>2727.7863998133885</v>
      </c>
      <c r="L164" s="19">
        <f t="shared" si="20"/>
        <v>20870.622754397391</v>
      </c>
      <c r="M164" s="19">
        <f t="shared" si="13"/>
        <v>28.296847381090885</v>
      </c>
      <c r="N164" s="20">
        <f t="shared" si="14"/>
        <v>179.81448300136336</v>
      </c>
      <c r="O164" s="19">
        <f t="shared" si="21"/>
        <v>2.9969080500227223</v>
      </c>
      <c r="P164" s="20">
        <f t="shared" si="22"/>
        <v>382.01693523016911</v>
      </c>
    </row>
    <row r="165" spans="1:16" x14ac:dyDescent="0.25">
      <c r="A165">
        <v>220</v>
      </c>
      <c r="B165" s="33">
        <f t="shared" si="3"/>
        <v>130.43478260869566</v>
      </c>
      <c r="C165" s="40">
        <f t="shared" si="4"/>
        <v>1.3319597818967485E-2</v>
      </c>
      <c r="D165" s="23">
        <f t="shared" si="5"/>
        <v>2.8319597818967486E-2</v>
      </c>
      <c r="E165" s="19">
        <f t="shared" si="15"/>
        <v>0.64225702620101321</v>
      </c>
      <c r="F165" s="19">
        <f t="shared" si="6"/>
        <v>22.678889379242939</v>
      </c>
      <c r="G165" s="19">
        <f t="shared" si="16"/>
        <v>4989.3556634334464</v>
      </c>
      <c r="H165" s="6">
        <f t="shared" si="7"/>
        <v>82.436365649476699</v>
      </c>
      <c r="I165" s="6">
        <f t="shared" si="18"/>
        <v>246.02557013317343</v>
      </c>
      <c r="J165" s="6">
        <f t="shared" si="19"/>
        <v>0.94415420139771244</v>
      </c>
      <c r="K165" s="19">
        <f t="shared" si="17"/>
        <v>2792.9176552755889</v>
      </c>
      <c r="L165" s="19">
        <f t="shared" si="20"/>
        <v>21343.030167502297</v>
      </c>
      <c r="M165" s="19">
        <f t="shared" si="13"/>
        <v>28.937347697139622</v>
      </c>
      <c r="N165" s="20">
        <f t="shared" si="14"/>
        <v>175.83446263467656</v>
      </c>
      <c r="O165" s="19">
        <f t="shared" si="21"/>
        <v>2.9305743772446093</v>
      </c>
      <c r="P165" s="20">
        <f t="shared" si="22"/>
        <v>382.24883181451429</v>
      </c>
    </row>
    <row r="166" spans="1:16" x14ac:dyDescent="0.25">
      <c r="A166">
        <v>225</v>
      </c>
      <c r="B166" s="33">
        <f t="shared" si="3"/>
        <v>133.39920948616603</v>
      </c>
      <c r="C166" s="40">
        <f t="shared" si="4"/>
        <v>1.2174517617895012E-2</v>
      </c>
      <c r="D166" s="23">
        <f t="shared" si="5"/>
        <v>2.7174517617895012E-2</v>
      </c>
      <c r="E166" s="19">
        <f t="shared" si="15"/>
        <v>0.6140294334445241</v>
      </c>
      <c r="F166" s="19">
        <f t="shared" si="6"/>
        <v>22.595780432185936</v>
      </c>
      <c r="G166" s="19">
        <f t="shared" si="16"/>
        <v>5084.0505972418359</v>
      </c>
      <c r="H166" s="6">
        <f t="shared" si="7"/>
        <v>82.739572682705557</v>
      </c>
      <c r="I166" s="6">
        <f t="shared" si="18"/>
        <v>250.63801517866895</v>
      </c>
      <c r="J166" s="6">
        <f t="shared" si="19"/>
        <v>0.946097632315957</v>
      </c>
      <c r="K166" s="19">
        <f t="shared" si="17"/>
        <v>2851.7835371294636</v>
      </c>
      <c r="L166" s="19">
        <f t="shared" si="20"/>
        <v>21863.381181962941</v>
      </c>
      <c r="M166" s="19">
        <f t="shared" si="13"/>
        <v>29.642850997834675</v>
      </c>
      <c r="N166" s="20">
        <f t="shared" si="14"/>
        <v>171.64958197748987</v>
      </c>
      <c r="O166" s="19">
        <f t="shared" si="21"/>
        <v>2.8608263662914979</v>
      </c>
      <c r="P166" s="20">
        <f t="shared" si="22"/>
        <v>381.63197574046666</v>
      </c>
    </row>
    <row r="167" spans="1:16" x14ac:dyDescent="0.25">
      <c r="A167">
        <v>230</v>
      </c>
      <c r="B167" s="33">
        <f t="shared" si="3"/>
        <v>136.36363636363637</v>
      </c>
      <c r="C167" s="40">
        <f t="shared" si="4"/>
        <v>1.1149887638623528E-2</v>
      </c>
      <c r="D167" s="23">
        <f t="shared" si="5"/>
        <v>2.6149887638623526E-2</v>
      </c>
      <c r="E167" s="19">
        <f t="shared" si="15"/>
        <v>0.58762268559790243</v>
      </c>
      <c r="F167" s="19">
        <f t="shared" si="6"/>
        <v>22.471327361651088</v>
      </c>
      <c r="G167" s="19">
        <f t="shared" si="16"/>
        <v>5168.4052931797505</v>
      </c>
      <c r="H167" s="6">
        <f t="shared" si="7"/>
        <v>83.19780969333614</v>
      </c>
      <c r="I167" s="6">
        <f t="shared" si="18"/>
        <v>255.30558164367653</v>
      </c>
      <c r="J167" s="6">
        <f t="shared" si="19"/>
        <v>0.94785639687479128</v>
      </c>
      <c r="K167" s="19">
        <f t="shared" si="17"/>
        <v>2904.4897344557062</v>
      </c>
      <c r="L167" s="19">
        <f t="shared" si="20"/>
        <v>22431.311902613557</v>
      </c>
      <c r="M167" s="19">
        <f t="shared" si="13"/>
        <v>30.412863906141276</v>
      </c>
      <c r="N167" s="20">
        <f t="shared" si="14"/>
        <v>167.30364486890306</v>
      </c>
      <c r="O167" s="19">
        <f t="shared" si="21"/>
        <v>2.7883940811483843</v>
      </c>
      <c r="P167" s="20">
        <f t="shared" si="22"/>
        <v>380.23555652023424</v>
      </c>
    </row>
    <row r="168" spans="1:16" x14ac:dyDescent="0.25">
      <c r="A168">
        <v>235</v>
      </c>
      <c r="B168" s="33">
        <f t="shared" si="3"/>
        <v>139.32806324110672</v>
      </c>
      <c r="C168" s="40">
        <f t="shared" si="4"/>
        <v>1.0230818634841245E-2</v>
      </c>
      <c r="D168" s="23">
        <f t="shared" si="5"/>
        <v>2.5230818634841244E-2</v>
      </c>
      <c r="E168" s="19">
        <f t="shared" si="15"/>
        <v>0.56288347791994642</v>
      </c>
      <c r="F168" s="19">
        <f t="shared" si="6"/>
        <v>22.309362453371229</v>
      </c>
      <c r="G168" s="19">
        <f t="shared" si="16"/>
        <v>5242.7001765422383</v>
      </c>
      <c r="H168" s="6">
        <f t="shared" si="7"/>
        <v>83.801821826996644</v>
      </c>
      <c r="I168" s="6">
        <f t="shared" si="18"/>
        <v>260.02329662604404</v>
      </c>
      <c r="J168" s="6">
        <f t="shared" si="19"/>
        <v>0.94945026467118498</v>
      </c>
      <c r="K168" s="19">
        <f t="shared" si="17"/>
        <v>2951.195496171757</v>
      </c>
      <c r="L168" s="19">
        <f t="shared" si="20"/>
        <v>23046.585613371248</v>
      </c>
      <c r="M168" s="19">
        <f t="shared" si="13"/>
        <v>31.247065477210327</v>
      </c>
      <c r="N168" s="20">
        <f t="shared" si="14"/>
        <v>162.83714661494679</v>
      </c>
      <c r="O168" s="19">
        <f t="shared" si="21"/>
        <v>2.7139524435824463</v>
      </c>
      <c r="P168" s="20">
        <f t="shared" si="22"/>
        <v>378.1297376928112</v>
      </c>
    </row>
    <row r="169" spans="1:16" x14ac:dyDescent="0.25">
      <c r="A169">
        <v>240</v>
      </c>
      <c r="B169" s="33">
        <f t="shared" si="3"/>
        <v>142.29249011857709</v>
      </c>
      <c r="C169" s="40">
        <f t="shared" si="4"/>
        <v>9.4045250611257177E-3</v>
      </c>
      <c r="D169" s="23">
        <f t="shared" si="5"/>
        <v>2.4404525061125719E-2</v>
      </c>
      <c r="E169" s="19">
        <f t="shared" si="15"/>
        <v>0.53967430673835126</v>
      </c>
      <c r="F169" s="19">
        <f t="shared" si="6"/>
        <v>22.113698397597805</v>
      </c>
      <c r="G169" s="19">
        <f t="shared" si="16"/>
        <v>5307.2876154234727</v>
      </c>
      <c r="H169" s="6">
        <f t="shared" si="7"/>
        <v>84.543308124089904</v>
      </c>
      <c r="I169" s="6">
        <f t="shared" si="18"/>
        <v>264.78667948884038</v>
      </c>
      <c r="J169" s="6">
        <f t="shared" si="19"/>
        <v>0.95089672430750338</v>
      </c>
      <c r="K169" s="19">
        <f t="shared" si="17"/>
        <v>2992.1041947414797</v>
      </c>
      <c r="L169" s="19">
        <f t="shared" si="20"/>
        <v>23709.075433867361</v>
      </c>
      <c r="M169" s="19">
        <f t="shared" si="13"/>
        <v>32.145283683859432</v>
      </c>
      <c r="N169" s="20">
        <f t="shared" si="14"/>
        <v>158.28707664988451</v>
      </c>
      <c r="O169" s="19">
        <f t="shared" si="21"/>
        <v>2.6381179441647418</v>
      </c>
      <c r="P169" s="20">
        <f t="shared" si="22"/>
        <v>375.38437150170245</v>
      </c>
    </row>
    <row r="170" spans="1:16" x14ac:dyDescent="0.25">
      <c r="A170">
        <v>245</v>
      </c>
      <c r="B170" s="33">
        <f t="shared" si="3"/>
        <v>145.25691699604747</v>
      </c>
      <c r="C170" s="40">
        <f t="shared" si="4"/>
        <v>8.6599921327519796E-3</v>
      </c>
      <c r="D170" s="23">
        <f t="shared" si="5"/>
        <v>2.3659992132751981E-2</v>
      </c>
      <c r="E170" s="19">
        <f t="shared" si="15"/>
        <v>0.51787155465437795</v>
      </c>
      <c r="F170" s="19">
        <f t="shared" si="6"/>
        <v>21.888069604955628</v>
      </c>
      <c r="G170" s="19">
        <f t="shared" si="16"/>
        <v>5362.5770532141287</v>
      </c>
      <c r="H170" s="6">
        <f t="shared" si="7"/>
        <v>85.414805925508404</v>
      </c>
      <c r="I170" s="6">
        <f t="shared" si="18"/>
        <v>269.59169130742367</v>
      </c>
      <c r="J170" s="6">
        <f t="shared" si="19"/>
        <v>0.95221125462608336</v>
      </c>
      <c r="K170" s="19">
        <f t="shared" si="17"/>
        <v>3027.4542829269199</v>
      </c>
      <c r="L170" s="19">
        <f t="shared" si="20"/>
        <v>24418.749691057063</v>
      </c>
      <c r="M170" s="19">
        <f t="shared" si="13"/>
        <v>33.107475583080785</v>
      </c>
      <c r="N170" s="20">
        <f t="shared" si="14"/>
        <v>153.6868303241942</v>
      </c>
      <c r="O170" s="19">
        <f t="shared" si="21"/>
        <v>2.5614471720699035</v>
      </c>
      <c r="P170" s="20">
        <f t="shared" si="22"/>
        <v>372.06791926311848</v>
      </c>
    </row>
    <row r="171" spans="1:16" x14ac:dyDescent="0.25">
      <c r="A171">
        <v>250</v>
      </c>
      <c r="B171" s="33">
        <f t="shared" si="3"/>
        <v>148.22134387351778</v>
      </c>
      <c r="C171" s="40">
        <f t="shared" si="4"/>
        <v>7.9877010091009178E-3</v>
      </c>
      <c r="D171" s="23">
        <f t="shared" si="5"/>
        <v>2.2987701009100917E-2</v>
      </c>
      <c r="E171" s="19">
        <f t="shared" si="15"/>
        <v>0.49736384109006454</v>
      </c>
      <c r="F171" s="19">
        <f t="shared" si="6"/>
        <v>21.636084482443735</v>
      </c>
      <c r="G171" s="19">
        <f t="shared" si="16"/>
        <v>5409.0211206109334</v>
      </c>
      <c r="H171" s="6">
        <f t="shared" si="7"/>
        <v>86.409591296814085</v>
      </c>
      <c r="I171" s="6">
        <f t="shared" si="18"/>
        <v>274.43468931056884</v>
      </c>
      <c r="J171" s="6">
        <f t="shared" si="19"/>
        <v>0.9534075647385355</v>
      </c>
      <c r="K171" s="19">
        <f t="shared" si="17"/>
        <v>3057.5108621863487</v>
      </c>
      <c r="L171" s="19">
        <f t="shared" si="20"/>
        <v>25175.659536221076</v>
      </c>
      <c r="M171" s="19">
        <f t="shared" si="13"/>
        <v>34.13371052690097</v>
      </c>
      <c r="N171" s="20">
        <f t="shared" si="14"/>
        <v>149.06621354245428</v>
      </c>
      <c r="O171" s="19">
        <f t="shared" si="21"/>
        <v>2.4844368923742381</v>
      </c>
      <c r="P171" s="20">
        <f t="shared" si="22"/>
        <v>368.24657495665582</v>
      </c>
    </row>
    <row r="172" spans="1:16" x14ac:dyDescent="0.25">
      <c r="A172">
        <v>255</v>
      </c>
      <c r="B172" s="33">
        <f t="shared" si="3"/>
        <v>151.18577075098813</v>
      </c>
      <c r="C172" s="40">
        <f t="shared" si="4"/>
        <v>7.3794010417252568E-3</v>
      </c>
      <c r="D172" s="23">
        <f t="shared" si="5"/>
        <v>2.2379401041725255E-2</v>
      </c>
      <c r="E172" s="19">
        <f t="shared" si="15"/>
        <v>0.47805059697238045</v>
      </c>
      <c r="F172" s="19">
        <f t="shared" si="6"/>
        <v>21.361188178409218</v>
      </c>
      <c r="G172" s="19">
        <f t="shared" si="16"/>
        <v>5447.1029854943508</v>
      </c>
      <c r="H172" s="6">
        <f t="shared" si="7"/>
        <v>87.521592983341833</v>
      </c>
      <c r="I172" s="6">
        <f t="shared" si="18"/>
        <v>279.31238591409539</v>
      </c>
      <c r="J172" s="6">
        <f t="shared" si="19"/>
        <v>0.95449780586219779</v>
      </c>
      <c r="K172" s="19">
        <f t="shared" si="17"/>
        <v>3082.5580126243781</v>
      </c>
      <c r="L172" s="19">
        <f t="shared" si="20"/>
        <v>25979.928425517624</v>
      </c>
      <c r="M172" s="19">
        <f t="shared" si="13"/>
        <v>35.224155899882895</v>
      </c>
      <c r="N172" s="20">
        <f t="shared" si="14"/>
        <v>144.45152346195061</v>
      </c>
      <c r="O172" s="19">
        <f t="shared" si="21"/>
        <v>2.4075253910325101</v>
      </c>
      <c r="P172" s="20">
        <f t="shared" si="22"/>
        <v>363.98358184582412</v>
      </c>
    </row>
    <row r="173" spans="1:16" x14ac:dyDescent="0.25">
      <c r="A173">
        <v>260</v>
      </c>
      <c r="B173" s="33">
        <f t="shared" si="3"/>
        <v>154.15019762845853</v>
      </c>
      <c r="C173" s="40">
        <f t="shared" si="4"/>
        <v>6.827920299271836E-3</v>
      </c>
      <c r="D173" s="23">
        <f t="shared" si="5"/>
        <v>2.1827920299271837E-2</v>
      </c>
      <c r="E173" s="19">
        <f t="shared" si="15"/>
        <v>0.45984082941019283</v>
      </c>
      <c r="F173" s="19">
        <f t="shared" si="6"/>
        <v>21.066634984256048</v>
      </c>
      <c r="G173" s="19">
        <f t="shared" si="16"/>
        <v>5477.3250959065726</v>
      </c>
      <c r="H173" s="6">
        <f t="shared" si="7"/>
        <v>88.745317834979645</v>
      </c>
      <c r="I173" s="6">
        <f t="shared" si="18"/>
        <v>284.22181195283321</v>
      </c>
      <c r="J173" s="6">
        <f t="shared" si="19"/>
        <v>0.95549275787767862</v>
      </c>
      <c r="K173" s="19">
        <f t="shared" si="17"/>
        <v>3102.891973328296</v>
      </c>
      <c r="L173" s="19">
        <f t="shared" si="20"/>
        <v>26831.743152490391</v>
      </c>
      <c r="M173" s="19">
        <f t="shared" si="13"/>
        <v>36.379064960803724</v>
      </c>
      <c r="N173" s="20">
        <f t="shared" si="14"/>
        <v>139.8656889032622</v>
      </c>
      <c r="O173" s="19">
        <f t="shared" si="21"/>
        <v>2.33109481505437</v>
      </c>
      <c r="P173" s="20">
        <f t="shared" si="22"/>
        <v>359.3387264313061</v>
      </c>
    </row>
    <row r="174" spans="1:16" x14ac:dyDescent="0.25">
      <c r="A174">
        <v>265</v>
      </c>
      <c r="B174" s="33">
        <f t="shared" si="3"/>
        <v>157.11462450592887</v>
      </c>
      <c r="C174" s="40">
        <f t="shared" si="4"/>
        <v>6.3270073531487819E-3</v>
      </c>
      <c r="D174" s="23">
        <f t="shared" si="5"/>
        <v>2.1327007353148783E-2</v>
      </c>
      <c r="E174" s="19">
        <f t="shared" si="15"/>
        <v>0.44265204796196567</v>
      </c>
      <c r="F174" s="19">
        <f t="shared" si="6"/>
        <v>20.755469374216311</v>
      </c>
      <c r="G174" s="19">
        <f t="shared" si="16"/>
        <v>5500.199384167322</v>
      </c>
      <c r="H174" s="6">
        <f t="shared" si="7"/>
        <v>90.075785986020165</v>
      </c>
      <c r="I174" s="6">
        <f t="shared" si="18"/>
        <v>289.1602837310021</v>
      </c>
      <c r="J174" s="6">
        <f t="shared" si="19"/>
        <v>0.95640199335770171</v>
      </c>
      <c r="K174" s="19">
        <f t="shared" si="17"/>
        <v>3118.8152104046035</v>
      </c>
      <c r="L174" s="19">
        <f t="shared" si="20"/>
        <v>27731.346177392199</v>
      </c>
      <c r="M174" s="19">
        <f t="shared" si="13"/>
        <v>37.59876644258393</v>
      </c>
      <c r="N174" s="20">
        <f t="shared" si="14"/>
        <v>135.32845526114184</v>
      </c>
      <c r="O174" s="19">
        <f t="shared" si="21"/>
        <v>2.255474254352364</v>
      </c>
      <c r="P174" s="20">
        <f t="shared" si="22"/>
        <v>354.36799055536159</v>
      </c>
    </row>
    <row r="175" spans="1:16" x14ac:dyDescent="0.25">
      <c r="A175">
        <v>270</v>
      </c>
      <c r="B175" s="33">
        <f t="shared" si="3"/>
        <v>160.07905138339922</v>
      </c>
      <c r="C175" s="40">
        <f t="shared" si="4"/>
        <v>5.8711986969015324E-3</v>
      </c>
      <c r="D175" s="23">
        <f t="shared" si="5"/>
        <v>2.087119869690153E-2</v>
      </c>
      <c r="E175" s="19">
        <f t="shared" si="15"/>
        <v>0.42640932878091964</v>
      </c>
      <c r="F175" s="19">
        <f t="shared" si="6"/>
        <v>20.430514556129591</v>
      </c>
      <c r="G175" s="19">
        <f t="shared" si="16"/>
        <v>5516.2389301549892</v>
      </c>
      <c r="H175" s="6">
        <f t="shared" si="7"/>
        <v>91.508474358537157</v>
      </c>
      <c r="I175" s="6">
        <f t="shared" si="18"/>
        <v>294.12537353026892</v>
      </c>
      <c r="J175" s="6">
        <f t="shared" si="19"/>
        <v>0.9572340216159867</v>
      </c>
      <c r="K175" s="19">
        <f t="shared" si="17"/>
        <v>3130.6313687590487</v>
      </c>
      <c r="L175" s="19">
        <f t="shared" si="20"/>
        <v>28679.029043719333</v>
      </c>
      <c r="M175" s="19">
        <f t="shared" si="13"/>
        <v>38.883655626280351</v>
      </c>
      <c r="N175" s="20">
        <f t="shared" si="14"/>
        <v>130.85660029764236</v>
      </c>
      <c r="O175" s="19">
        <f t="shared" si="21"/>
        <v>2.1809433382940391</v>
      </c>
      <c r="P175" s="20">
        <f t="shared" si="22"/>
        <v>349.1233407150537</v>
      </c>
    </row>
    <row r="176" spans="1:16" x14ac:dyDescent="0.25">
      <c r="A176">
        <v>275</v>
      </c>
      <c r="B176" s="33">
        <f t="shared" si="3"/>
        <v>163.04347826086959</v>
      </c>
      <c r="C176" s="40">
        <f t="shared" si="4"/>
        <v>5.4557072666490802E-3</v>
      </c>
      <c r="D176" s="23">
        <f t="shared" si="5"/>
        <v>2.0455707266649081E-2</v>
      </c>
      <c r="E176" s="19">
        <f t="shared" si="15"/>
        <v>0.4110444967686484</v>
      </c>
      <c r="F176" s="19">
        <f t="shared" si="6"/>
        <v>20.09436737681586</v>
      </c>
      <c r="G176" s="19">
        <f t="shared" si="16"/>
        <v>5525.9510286243612</v>
      </c>
      <c r="H176" s="6">
        <f t="shared" si="7"/>
        <v>93.039267289814759</v>
      </c>
      <c r="I176" s="6">
        <f t="shared" si="18"/>
        <v>299.11488323719226</v>
      </c>
      <c r="J176" s="6">
        <f t="shared" si="19"/>
        <v>0.95799641510559952</v>
      </c>
      <c r="K176" s="19">
        <f t="shared" si="17"/>
        <v>3138.6410724137781</v>
      </c>
      <c r="L176" s="19">
        <f t="shared" si="20"/>
        <v>29675.126709203287</v>
      </c>
      <c r="M176" s="19">
        <f t="shared" si="13"/>
        <v>40.23418665492067</v>
      </c>
      <c r="N176" s="20">
        <f t="shared" si="14"/>
        <v>126.4641690421012</v>
      </c>
      <c r="O176" s="19">
        <f t="shared" si="21"/>
        <v>2.1077361507016867</v>
      </c>
      <c r="P176" s="20">
        <f t="shared" si="22"/>
        <v>343.65263326657941</v>
      </c>
    </row>
    <row r="177" spans="1:16" x14ac:dyDescent="0.25">
      <c r="A177">
        <v>280</v>
      </c>
      <c r="B177" s="33">
        <f t="shared" si="3"/>
        <v>166.00790513833996</v>
      </c>
      <c r="C177" s="40">
        <f t="shared" si="4"/>
        <v>5.0763283961761498E-3</v>
      </c>
      <c r="D177" s="23">
        <f t="shared" si="5"/>
        <v>2.0076328396176148E-2</v>
      </c>
      <c r="E177" s="19">
        <f t="shared" si="15"/>
        <v>0.39649540903225816</v>
      </c>
      <c r="F177" s="19">
        <f t="shared" si="6"/>
        <v>19.749398456132891</v>
      </c>
      <c r="G177" s="19">
        <f t="shared" si="16"/>
        <v>5529.8315677172095</v>
      </c>
      <c r="H177" s="6">
        <f t="shared" si="7"/>
        <v>94.664413275369313</v>
      </c>
      <c r="I177" s="6">
        <f t="shared" si="18"/>
        <v>304.12682077606974</v>
      </c>
      <c r="J177" s="6">
        <f t="shared" si="19"/>
        <v>0.95869592027290418</v>
      </c>
      <c r="K177" s="19">
        <f t="shared" si="17"/>
        <v>3143.1385160672776</v>
      </c>
      <c r="L177" s="19">
        <f t="shared" si="20"/>
        <v>30720.012648429696</v>
      </c>
      <c r="M177" s="19">
        <f t="shared" si="13"/>
        <v>41.650865893526898</v>
      </c>
      <c r="N177" s="20">
        <f t="shared" si="14"/>
        <v>122.16271794700219</v>
      </c>
      <c r="O177" s="19">
        <f t="shared" si="21"/>
        <v>2.0360452991167031</v>
      </c>
      <c r="P177" s="20">
        <f t="shared" si="22"/>
        <v>337.99961487312868</v>
      </c>
    </row>
    <row r="178" spans="1:16" x14ac:dyDescent="0.25">
      <c r="A178">
        <v>285</v>
      </c>
      <c r="B178" s="33">
        <f t="shared" si="3"/>
        <v>168.97233201581028</v>
      </c>
      <c r="C178" s="40">
        <f t="shared" si="4"/>
        <v>4.729360229018615E-3</v>
      </c>
      <c r="D178" s="23">
        <f t="shared" si="5"/>
        <v>1.9729360229018614E-2</v>
      </c>
      <c r="E178" s="19">
        <f t="shared" si="15"/>
        <v>0.38270532555406628</v>
      </c>
      <c r="F178" s="19">
        <f t="shared" si="6"/>
        <v>19.397756496491471</v>
      </c>
      <c r="G178" s="19">
        <f t="shared" si="16"/>
        <v>5528.3606015000696</v>
      </c>
      <c r="H178" s="6">
        <f t="shared" si="7"/>
        <v>96.380486976906738</v>
      </c>
      <c r="I178" s="6">
        <f t="shared" si="18"/>
        <v>309.15937905824785</v>
      </c>
      <c r="J178" s="6">
        <f t="shared" si="19"/>
        <v>0.95933855475522256</v>
      </c>
      <c r="K178" s="19">
        <f t="shared" si="17"/>
        <v>3144.4087764478991</v>
      </c>
      <c r="L178" s="19">
        <f t="shared" si="20"/>
        <v>31814.094608628035</v>
      </c>
      <c r="M178" s="19">
        <f t="shared" si="13"/>
        <v>43.134246174722108</v>
      </c>
      <c r="N178" s="20">
        <f t="shared" si="14"/>
        <v>117.96156032932274</v>
      </c>
      <c r="O178" s="19">
        <f t="shared" si="21"/>
        <v>1.9660260054887122</v>
      </c>
      <c r="P178" s="20">
        <f t="shared" si="22"/>
        <v>332.20399895115594</v>
      </c>
    </row>
    <row r="179" spans="1:16" x14ac:dyDescent="0.25">
      <c r="A179">
        <v>290</v>
      </c>
      <c r="B179" s="33">
        <f t="shared" si="3"/>
        <v>171.93675889328063</v>
      </c>
      <c r="C179" s="40">
        <f t="shared" si="4"/>
        <v>4.4115361598573216E-3</v>
      </c>
      <c r="D179" s="23">
        <f t="shared" si="5"/>
        <v>1.9411536159857322E-2</v>
      </c>
      <c r="E179" s="19">
        <f t="shared" si="15"/>
        <v>0.36962235515016689</v>
      </c>
      <c r="F179" s="19">
        <f t="shared" si="6"/>
        <v>19.041375814168624</v>
      </c>
      <c r="G179" s="19">
        <f t="shared" si="16"/>
        <v>5521.9989861089007</v>
      </c>
      <c r="H179" s="6">
        <f t="shared" si="7"/>
        <v>98.184355775393456</v>
      </c>
      <c r="I179" s="6">
        <f t="shared" si="18"/>
        <v>314.21091718389312</v>
      </c>
      <c r="J179" s="6">
        <f t="shared" si="19"/>
        <v>0.95992969260347794</v>
      </c>
      <c r="K179" s="19">
        <f t="shared" si="17"/>
        <v>3142.7257644025103</v>
      </c>
      <c r="L179" s="19">
        <f t="shared" si="20"/>
        <v>32957.810920088974</v>
      </c>
      <c r="M179" s="19">
        <f t="shared" si="13"/>
        <v>44.684921796313489</v>
      </c>
      <c r="N179" s="20">
        <f t="shared" si="14"/>
        <v>113.86800687696662</v>
      </c>
      <c r="O179" s="19">
        <f t="shared" si="21"/>
        <v>1.8978001146161103</v>
      </c>
      <c r="P179" s="20">
        <f t="shared" si="22"/>
        <v>326.30160073439049</v>
      </c>
    </row>
    <row r="180" spans="1:16" x14ac:dyDescent="0.25">
      <c r="A180">
        <v>295</v>
      </c>
      <c r="B180" s="33">
        <f t="shared" si="3"/>
        <v>174.901185770751</v>
      </c>
      <c r="C180" s="40">
        <f t="shared" si="4"/>
        <v>4.1199673185341882E-3</v>
      </c>
      <c r="D180" s="23">
        <f t="shared" si="5"/>
        <v>1.9119967318534187E-2</v>
      </c>
      <c r="E180" s="19">
        <f t="shared" si="15"/>
        <v>0.35719896659728856</v>
      </c>
      <c r="F180" s="19">
        <f t="shared" si="6"/>
        <v>18.681986252718808</v>
      </c>
      <c r="G180" s="19">
        <f t="shared" si="16"/>
        <v>5511.1859445520486</v>
      </c>
      <c r="H180" s="6">
        <f t="shared" si="7"/>
        <v>100.07315025827218</v>
      </c>
      <c r="I180" s="6">
        <f t="shared" si="18"/>
        <v>319.27994365643497</v>
      </c>
      <c r="J180" s="6">
        <f t="shared" si="19"/>
        <v>0.96047413901891177</v>
      </c>
      <c r="K180" s="19">
        <f t="shared" si="17"/>
        <v>3138.3507362055875</v>
      </c>
      <c r="L180" s="19">
        <f t="shared" si="20"/>
        <v>34151.627278985216</v>
      </c>
      <c r="M180" s="19">
        <f t="shared" si="13"/>
        <v>46.303524159370383</v>
      </c>
      <c r="N180" s="20">
        <f t="shared" si="14"/>
        <v>109.88759656579296</v>
      </c>
      <c r="O180" s="19">
        <f t="shared" si="21"/>
        <v>1.8314599427632159</v>
      </c>
      <c r="P180" s="20">
        <f t="shared" si="22"/>
        <v>320.32451568091824</v>
      </c>
    </row>
    <row r="181" spans="1:16" x14ac:dyDescent="0.25">
      <c r="A181">
        <v>300</v>
      </c>
      <c r="B181" s="33">
        <f t="shared" si="3"/>
        <v>177.86561264822137</v>
      </c>
      <c r="C181" s="40">
        <f t="shared" si="4"/>
        <v>3.8520934650370935E-3</v>
      </c>
      <c r="D181" s="23">
        <f t="shared" si="5"/>
        <v>1.8852093465037092E-2</v>
      </c>
      <c r="E181" s="19">
        <f t="shared" si="15"/>
        <v>0.34539155631254481</v>
      </c>
      <c r="F181" s="19">
        <f t="shared" si="6"/>
        <v>18.321124757476117</v>
      </c>
      <c r="G181" s="19">
        <f t="shared" si="16"/>
        <v>5496.3374272428346</v>
      </c>
      <c r="H181" s="6">
        <f t="shared" si="7"/>
        <v>102.04423812071961</v>
      </c>
      <c r="I181" s="6">
        <f t="shared" si="18"/>
        <v>324.36510139295837</v>
      </c>
      <c r="J181" s="6">
        <f t="shared" si="19"/>
        <v>0.9609761959171006</v>
      </c>
      <c r="K181" s="19">
        <f t="shared" si="17"/>
        <v>3131.5312839774333</v>
      </c>
      <c r="L181" s="19">
        <f t="shared" si="20"/>
        <v>35396.033933783496</v>
      </c>
      <c r="M181" s="19">
        <f t="shared" si="13"/>
        <v>47.990717953500052</v>
      </c>
      <c r="N181" s="20">
        <f t="shared" si="14"/>
        <v>106.02431468788329</v>
      </c>
      <c r="O181" s="19">
        <f t="shared" si="21"/>
        <v>1.7670719114647215</v>
      </c>
      <c r="P181" s="20">
        <f t="shared" si="22"/>
        <v>314.3013281261363</v>
      </c>
    </row>
    <row r="182" spans="1:16" x14ac:dyDescent="0.25">
      <c r="A182">
        <v>305</v>
      </c>
      <c r="B182" s="33">
        <f t="shared" si="3"/>
        <v>180.83003952569169</v>
      </c>
      <c r="C182" s="40">
        <f t="shared" si="4"/>
        <v>3.6056409507288678E-3</v>
      </c>
      <c r="D182" s="23">
        <f t="shared" si="5"/>
        <v>1.8605640950728867E-2</v>
      </c>
      <c r="E182" s="19">
        <f t="shared" si="15"/>
        <v>0.33416006523116404</v>
      </c>
      <c r="F182" s="19">
        <f t="shared" si="6"/>
        <v>17.960148006514846</v>
      </c>
      <c r="G182" s="19">
        <f t="shared" si="16"/>
        <v>5477.845141987028</v>
      </c>
      <c r="H182" s="6">
        <f t="shared" si="7"/>
        <v>104.09520103693691</v>
      </c>
      <c r="I182" s="6">
        <f t="shared" si="18"/>
        <v>329.46515433546858</v>
      </c>
      <c r="J182" s="6">
        <f t="shared" si="19"/>
        <v>0.96143971947349405</v>
      </c>
      <c r="K182" s="19">
        <f t="shared" si="17"/>
        <v>3122.5007292280138</v>
      </c>
      <c r="L182" s="19">
        <f t="shared" si="20"/>
        <v>36691.543217489896</v>
      </c>
      <c r="M182" s="19">
        <f t="shared" si="13"/>
        <v>49.747197811011851</v>
      </c>
      <c r="N182" s="20">
        <f t="shared" si="14"/>
        <v>102.28079582952991</v>
      </c>
      <c r="O182" s="19">
        <f t="shared" si="21"/>
        <v>1.7046799304921649</v>
      </c>
      <c r="P182" s="20">
        <f t="shared" si="22"/>
        <v>308.25733920955156</v>
      </c>
    </row>
    <row r="183" spans="1:16" x14ac:dyDescent="0.25">
      <c r="A183">
        <v>310</v>
      </c>
      <c r="B183" s="33">
        <f t="shared" si="3"/>
        <v>183.79446640316209</v>
      </c>
      <c r="C183" s="40">
        <f t="shared" si="4"/>
        <v>3.3785866338502829E-3</v>
      </c>
      <c r="D183" s="23">
        <f t="shared" si="5"/>
        <v>1.8378586633850284E-2</v>
      </c>
      <c r="E183" s="19">
        <f t="shared" si="15"/>
        <v>0.32346763858615024</v>
      </c>
      <c r="F183" s="19">
        <f t="shared" si="6"/>
        <v>17.600245602693786</v>
      </c>
      <c r="G183" s="19">
        <f t="shared" si="16"/>
        <v>5456.0761368350732</v>
      </c>
      <c r="H183" s="6">
        <f t="shared" si="7"/>
        <v>106.22381412138705</v>
      </c>
      <c r="I183" s="6">
        <f t="shared" si="18"/>
        <v>334.57897548802919</v>
      </c>
      <c r="J183" s="6">
        <f t="shared" si="19"/>
        <v>0.96186817066222219</v>
      </c>
      <c r="K183" s="19">
        <f t="shared" si="17"/>
        <v>3111.4778494454686</v>
      </c>
      <c r="L183" s="19">
        <f t="shared" si="20"/>
        <v>38038.687377108065</v>
      </c>
      <c r="M183" s="19">
        <f t="shared" si="13"/>
        <v>51.573685364049119</v>
      </c>
      <c r="N183" s="20">
        <f t="shared" si="14"/>
        <v>98.658510565665352</v>
      </c>
      <c r="O183" s="19">
        <f t="shared" si="21"/>
        <v>1.6443085094277559</v>
      </c>
      <c r="P183" s="20">
        <f t="shared" si="22"/>
        <v>302.21480509245322</v>
      </c>
    </row>
    <row r="184" spans="1:16" x14ac:dyDescent="0.25">
      <c r="A184">
        <v>315</v>
      </c>
      <c r="B184" s="33">
        <f t="shared" si="3"/>
        <v>186.75889328063244</v>
      </c>
      <c r="C184" s="40">
        <f t="shared" si="4"/>
        <v>3.1691268268156545E-3</v>
      </c>
      <c r="D184" s="23">
        <f t="shared" si="5"/>
        <v>1.8169126826815655E-2</v>
      </c>
      <c r="E184" s="19">
        <f t="shared" si="15"/>
        <v>0.31328032318598176</v>
      </c>
      <c r="F184" s="19">
        <f t="shared" ref="F184:F220" si="23">E184/D184</f>
        <v>17.24245343059712</v>
      </c>
      <c r="G184" s="19">
        <f t="shared" si="16"/>
        <v>5431.3728306380926</v>
      </c>
      <c r="H184" s="6">
        <f t="shared" si="7"/>
        <v>108.42802765375136</v>
      </c>
      <c r="I184" s="6">
        <f t="shared" si="18"/>
        <v>339.70553622321876</v>
      </c>
      <c r="J184" s="6">
        <f t="shared" si="19"/>
        <v>0.96226465967320685</v>
      </c>
      <c r="K184" s="19">
        <f t="shared" si="17"/>
        <v>3098.6668745645852</v>
      </c>
      <c r="L184" s="19">
        <f t="shared" si="20"/>
        <v>39438.016659264045</v>
      </c>
      <c r="M184" s="19">
        <f t="shared" si="13"/>
        <v>53.47092664903743</v>
      </c>
      <c r="N184" s="20">
        <f t="shared" si="14"/>
        <v>95.157935372921685</v>
      </c>
      <c r="O184" s="19">
        <f t="shared" si="21"/>
        <v>1.5859655895486948</v>
      </c>
      <c r="P184" s="20">
        <f t="shared" si="22"/>
        <v>296.19317828528</v>
      </c>
    </row>
    <row r="185" spans="1:16" x14ac:dyDescent="0.25">
      <c r="A185">
        <v>320</v>
      </c>
      <c r="B185" s="33">
        <f t="shared" si="3"/>
        <v>189.72332015810278</v>
      </c>
      <c r="C185" s="40">
        <f t="shared" si="4"/>
        <v>2.9756505076218094E-3</v>
      </c>
      <c r="D185" s="23">
        <f t="shared" si="5"/>
        <v>1.7975650507621808E-2</v>
      </c>
      <c r="E185" s="19">
        <f t="shared" si="15"/>
        <v>0.30356679754032262</v>
      </c>
      <c r="F185" s="19">
        <f t="shared" si="23"/>
        <v>16.887666869780766</v>
      </c>
      <c r="G185" s="19">
        <f t="shared" si="16"/>
        <v>5404.0533983298446</v>
      </c>
      <c r="H185" s="6">
        <f t="shared" si="7"/>
        <v>110.70595078688777</v>
      </c>
      <c r="I185" s="6">
        <f t="shared" si="18"/>
        <v>344.84389671816905</v>
      </c>
      <c r="J185" s="6">
        <f t="shared" si="19"/>
        <v>0.96263198498052771</v>
      </c>
      <c r="K185" s="19">
        <f t="shared" si="17"/>
        <v>3084.2576974950744</v>
      </c>
      <c r="L185" s="19">
        <f t="shared" si="20"/>
        <v>40890.097617246844</v>
      </c>
      <c r="M185" s="19">
        <f t="shared" si="13"/>
        <v>55.43968981133311</v>
      </c>
      <c r="N185" s="20">
        <f t="shared" si="14"/>
        <v>91.778705828170089</v>
      </c>
      <c r="O185" s="19">
        <f t="shared" si="21"/>
        <v>1.5296450971361681</v>
      </c>
      <c r="P185" s="20">
        <f t="shared" si="22"/>
        <v>290.20934649223744</v>
      </c>
    </row>
    <row r="186" spans="1:16" x14ac:dyDescent="0.25">
      <c r="A186">
        <v>325</v>
      </c>
      <c r="B186" s="33">
        <f t="shared" si="3"/>
        <v>192.68774703557315</v>
      </c>
      <c r="C186" s="40">
        <f t="shared" si="4"/>
        <v>2.796716154581744E-3</v>
      </c>
      <c r="D186" s="23">
        <f t="shared" si="5"/>
        <v>1.7796716154581744E-2</v>
      </c>
      <c r="E186" s="19">
        <f t="shared" si="15"/>
        <v>0.29429813082252343</v>
      </c>
      <c r="F186" s="19">
        <f t="shared" si="23"/>
        <v>16.536653631279989</v>
      </c>
      <c r="G186" s="19">
        <f t="shared" si="16"/>
        <v>5374.4124301659967</v>
      </c>
      <c r="H186" s="6">
        <f t="shared" si="7"/>
        <v>113.05583699563735</v>
      </c>
      <c r="I186" s="6">
        <f t="shared" si="18"/>
        <v>349.99319739568335</v>
      </c>
      <c r="J186" s="6">
        <f t="shared" si="19"/>
        <v>0.9629726677363355</v>
      </c>
      <c r="K186" s="19">
        <f t="shared" si="17"/>
        <v>3068.4262502325728</v>
      </c>
      <c r="L186" s="19">
        <f t="shared" si="20"/>
        <v>42395.511609961351</v>
      </c>
      <c r="M186" s="19">
        <f t="shared" si="13"/>
        <v>57.480763070070715</v>
      </c>
      <c r="N186" s="20">
        <f t="shared" si="14"/>
        <v>88.519753577326341</v>
      </c>
      <c r="O186" s="19">
        <f t="shared" si="21"/>
        <v>1.4753292262887723</v>
      </c>
      <c r="P186" s="20">
        <f t="shared" si="22"/>
        <v>284.27786474931884</v>
      </c>
    </row>
    <row r="187" spans="1:16" x14ac:dyDescent="0.25">
      <c r="A187">
        <v>330</v>
      </c>
      <c r="B187" s="33">
        <f t="shared" si="3"/>
        <v>195.6521739130435</v>
      </c>
      <c r="C187" s="40">
        <f t="shared" si="4"/>
        <v>2.631031667944195E-3</v>
      </c>
      <c r="D187" s="23">
        <f t="shared" si="5"/>
        <v>1.7631031667944195E-2</v>
      </c>
      <c r="E187" s="19">
        <f t="shared" si="15"/>
        <v>0.28544756720045034</v>
      </c>
      <c r="F187" s="19">
        <f t="shared" si="23"/>
        <v>16.19006604811651</v>
      </c>
      <c r="G187" s="19">
        <f t="shared" si="16"/>
        <v>5342.7217958784486</v>
      </c>
      <c r="H187" s="6">
        <f t="shared" si="7"/>
        <v>115.47607105709137</v>
      </c>
      <c r="I187" s="6">
        <f t="shared" si="18"/>
        <v>355.15265125966795</v>
      </c>
      <c r="J187" s="6">
        <f t="shared" si="19"/>
        <v>0.96328898207804603</v>
      </c>
      <c r="K187" s="19">
        <f t="shared" si="17"/>
        <v>3051.3350041173562</v>
      </c>
      <c r="L187" s="19">
        <f t="shared" si="20"/>
        <v>43954.85346767553</v>
      </c>
      <c r="M187" s="19">
        <f t="shared" si="13"/>
        <v>59.594952909153875</v>
      </c>
      <c r="N187" s="20">
        <f t="shared" si="14"/>
        <v>85.379427854498516</v>
      </c>
      <c r="O187" s="19">
        <f t="shared" si="21"/>
        <v>1.422990464241642</v>
      </c>
      <c r="P187" s="20">
        <f t="shared" si="22"/>
        <v>278.41117778640825</v>
      </c>
    </row>
    <row r="188" spans="1:16" x14ac:dyDescent="0.25">
      <c r="A188">
        <v>335</v>
      </c>
      <c r="B188" s="33">
        <f t="shared" si="3"/>
        <v>198.61660079051384</v>
      </c>
      <c r="C188" s="40">
        <f t="shared" si="4"/>
        <v>2.4774369280438913E-3</v>
      </c>
      <c r="D188" s="23">
        <f t="shared" si="5"/>
        <v>1.7477436928043891E-2</v>
      </c>
      <c r="E188" s="19">
        <f t="shared" si="15"/>
        <v>0.27699033252955257</v>
      </c>
      <c r="F188" s="19">
        <f t="shared" si="23"/>
        <v>15.848452703330905</v>
      </c>
      <c r="G188" s="19">
        <f t="shared" si="16"/>
        <v>5309.231655615853</v>
      </c>
      <c r="H188" s="6">
        <f t="shared" si="7"/>
        <v>117.96515738084474</v>
      </c>
      <c r="I188" s="6">
        <f t="shared" si="18"/>
        <v>360.32153702643666</v>
      </c>
      <c r="J188" s="6">
        <f t="shared" si="19"/>
        <v>0.96358298186084523</v>
      </c>
      <c r="K188" s="19">
        <f t="shared" si="17"/>
        <v>3033.1335593527565</v>
      </c>
      <c r="L188" s="19">
        <f t="shared" si="20"/>
        <v>45568.730303119148</v>
      </c>
      <c r="M188" s="19">
        <f t="shared" si="13"/>
        <v>61.783082465316923</v>
      </c>
      <c r="N188" s="20">
        <f t="shared" si="14"/>
        <v>82.355602526884041</v>
      </c>
      <c r="O188" s="19">
        <f t="shared" si="21"/>
        <v>1.3725933754480675</v>
      </c>
      <c r="P188" s="20">
        <f t="shared" si="22"/>
        <v>272.61983049907269</v>
      </c>
    </row>
    <row r="189" spans="1:16" x14ac:dyDescent="0.25">
      <c r="A189">
        <v>340</v>
      </c>
      <c r="B189" s="33">
        <f t="shared" si="3"/>
        <v>201.58102766798419</v>
      </c>
      <c r="C189" s="40">
        <f t="shared" si="4"/>
        <v>2.3348886108583819E-3</v>
      </c>
      <c r="D189" s="23">
        <f t="shared" si="5"/>
        <v>1.7334888610858381E-2</v>
      </c>
      <c r="E189" s="19">
        <f t="shared" si="15"/>
        <v>0.26890346079696398</v>
      </c>
      <c r="F189" s="19">
        <f t="shared" si="23"/>
        <v>15.512269321911065</v>
      </c>
      <c r="G189" s="19">
        <f t="shared" si="16"/>
        <v>5274.1715694497616</v>
      </c>
      <c r="H189" s="6">
        <f t="shared" si="7"/>
        <v>120.52170953159933</v>
      </c>
      <c r="I189" s="6">
        <f t="shared" si="18"/>
        <v>365.49919296447626</v>
      </c>
      <c r="J189" s="6">
        <f t="shared" si="19"/>
        <v>0.96385652426145263</v>
      </c>
      <c r="K189" s="19">
        <f t="shared" si="17"/>
        <v>3013.9592948350305</v>
      </c>
      <c r="L189" s="19">
        <f t="shared" si="20"/>
        <v>47237.760449579087</v>
      </c>
      <c r="M189" s="19">
        <f t="shared" si="13"/>
        <v>64.045990088371241</v>
      </c>
      <c r="N189" s="20">
        <f t="shared" si="14"/>
        <v>79.445769756679823</v>
      </c>
      <c r="O189" s="19">
        <f t="shared" si="21"/>
        <v>1.3240961626113306</v>
      </c>
      <c r="P189" s="20">
        <f t="shared" si="22"/>
        <v>266.91266519042631</v>
      </c>
    </row>
    <row r="190" spans="1:16" x14ac:dyDescent="0.25">
      <c r="A190">
        <v>345</v>
      </c>
      <c r="B190" s="33">
        <f t="shared" si="3"/>
        <v>204.54545454545456</v>
      </c>
      <c r="C190" s="40">
        <f t="shared" si="4"/>
        <v>2.2024469409626722E-3</v>
      </c>
      <c r="D190" s="23">
        <f t="shared" si="5"/>
        <v>1.7202446940962672E-2</v>
      </c>
      <c r="E190" s="19">
        <f t="shared" si="15"/>
        <v>0.26116563804351217</v>
      </c>
      <c r="F190" s="19">
        <f t="shared" si="23"/>
        <v>15.181888887075793</v>
      </c>
      <c r="G190" s="19">
        <f t="shared" si="16"/>
        <v>5237.7516660411484</v>
      </c>
      <c r="H190" s="6">
        <f t="shared" si="7"/>
        <v>123.1444408068912</v>
      </c>
      <c r="I190" s="6">
        <f t="shared" si="18"/>
        <v>370.68501136509838</v>
      </c>
      <c r="J190" s="6">
        <f t="shared" si="19"/>
        <v>0.96411129064152579</v>
      </c>
      <c r="K190" s="19">
        <f t="shared" si="17"/>
        <v>2993.9380546284983</v>
      </c>
      <c r="L190" s="19">
        <f t="shared" si="20"/>
        <v>48962.572510238111</v>
      </c>
      <c r="M190" s="19">
        <f t="shared" si="13"/>
        <v>66.384528052277943</v>
      </c>
      <c r="N190" s="20">
        <f t="shared" si="14"/>
        <v>76.647121425528354</v>
      </c>
      <c r="O190" s="19">
        <f t="shared" si="21"/>
        <v>1.2774520237588058</v>
      </c>
      <c r="P190" s="20">
        <f t="shared" si="22"/>
        <v>261.29700485975576</v>
      </c>
    </row>
    <row r="191" spans="1:16" x14ac:dyDescent="0.25">
      <c r="A191">
        <v>350</v>
      </c>
      <c r="B191" s="33">
        <f t="shared" si="3"/>
        <v>207.50988142292491</v>
      </c>
      <c r="C191" s="40">
        <f t="shared" si="4"/>
        <v>2.07926411107375E-3</v>
      </c>
      <c r="D191" s="23">
        <f t="shared" si="5"/>
        <v>1.7079264111073751E-2</v>
      </c>
      <c r="E191" s="19">
        <f t="shared" ref="E191:E220" si="24">$D$6/(0.5*$B$124*A191^2*$B$111)</f>
        <v>0.25375706178064517</v>
      </c>
      <c r="F191" s="19">
        <f t="shared" si="23"/>
        <v>14.857610967917269</v>
      </c>
      <c r="G191" s="19">
        <f t="shared" ref="G191:G220" si="25">A191*F191</f>
        <v>5200.1638387710445</v>
      </c>
      <c r="H191" s="6">
        <f t="shared" si="7"/>
        <v>125.83215575023087</v>
      </c>
      <c r="I191" s="6">
        <f t="shared" si="18"/>
        <v>375.87843357515862</v>
      </c>
      <c r="J191" s="6">
        <f t="shared" si="19"/>
        <v>0.96434880500898756</v>
      </c>
      <c r="K191" s="19">
        <f t="shared" ref="K191:K220" si="26">F191*B191*J191</f>
        <v>2973.1848520374347</v>
      </c>
      <c r="L191" s="19">
        <f t="shared" si="20"/>
        <v>50743.804505201646</v>
      </c>
      <c r="M191" s="19">
        <f t="shared" si="13"/>
        <v>68.799561398668104</v>
      </c>
      <c r="N191" s="20">
        <f t="shared" si="14"/>
        <v>73.956619474871275</v>
      </c>
      <c r="O191" s="19">
        <f t="shared" si="21"/>
        <v>1.2326103245811879</v>
      </c>
      <c r="P191" s="20">
        <f t="shared" si="22"/>
        <v>255.77882229451529</v>
      </c>
    </row>
    <row r="192" spans="1:16" x14ac:dyDescent="0.25">
      <c r="A192">
        <v>355</v>
      </c>
      <c r="B192" s="33">
        <f t="shared" ref="B192:B220" si="27">(A192/5280*60*60)/1.15</f>
        <v>210.47430830039528</v>
      </c>
      <c r="C192" s="40">
        <f t="shared" ref="C192:C220" si="28">E192^2/(PI()*$B$108*$B$109)</f>
        <v>1.9645741384397486E-3</v>
      </c>
      <c r="D192" s="23">
        <f t="shared" ref="D192:D220" si="29">($B$121)+C192</f>
        <v>1.6964574138439749E-2</v>
      </c>
      <c r="E192" s="19">
        <f t="shared" si="24"/>
        <v>0.2466593141688477</v>
      </c>
      <c r="F192" s="19">
        <f t="shared" si="23"/>
        <v>14.539670265576925</v>
      </c>
      <c r="G192" s="19">
        <f t="shared" si="25"/>
        <v>5161.5829442798085</v>
      </c>
      <c r="H192" s="6">
        <f t="shared" ref="H192:H220" si="30">0.5*$B$124*A192^2*D192*$B$111</f>
        <v>128.58374249501051</v>
      </c>
      <c r="I192" s="6">
        <f t="shared" ref="I192:I220" si="31">A192+(H192/($D$25*$B$77*I191))</f>
        <v>381.07894553080223</v>
      </c>
      <c r="J192" s="6">
        <f t="shared" ref="J192:J220" si="32">2/(1+(I192/A192))</f>
        <v>0.96457045037200984</v>
      </c>
      <c r="K192" s="19">
        <f t="shared" si="26"/>
        <v>2951.8045762034349</v>
      </c>
      <c r="L192" s="19">
        <f t="shared" ref="L192:L220" si="33">H192*A192/J192/$B$33</f>
        <v>52582.103104517526</v>
      </c>
      <c r="M192" s="19">
        <f t="shared" si="13"/>
        <v>71.291966896954193</v>
      </c>
      <c r="N192" s="20">
        <f t="shared" si="14"/>
        <v>71.371056289607338</v>
      </c>
      <c r="O192" s="19">
        <f t="shared" ref="O192:O220" si="34">$F$13/L192/3600</f>
        <v>1.1895176048267888</v>
      </c>
      <c r="P192" s="20">
        <f t="shared" ref="P192:P220" si="35">B192*O192</f>
        <v>250.3628950870613</v>
      </c>
    </row>
    <row r="193" spans="1:16" x14ac:dyDescent="0.25">
      <c r="A193">
        <v>360</v>
      </c>
      <c r="B193" s="33">
        <f t="shared" si="27"/>
        <v>213.43873517786562</v>
      </c>
      <c r="C193" s="40">
        <f t="shared" si="28"/>
        <v>1.8576839626915E-3</v>
      </c>
      <c r="D193" s="23">
        <f t="shared" si="29"/>
        <v>1.6857683962691501E-2</v>
      </c>
      <c r="E193" s="19">
        <f t="shared" si="24"/>
        <v>0.23985524743926726</v>
      </c>
      <c r="F193" s="19">
        <f t="shared" si="23"/>
        <v>14.228244400007835</v>
      </c>
      <c r="G193" s="19">
        <f t="shared" si="25"/>
        <v>5122.167984002821</v>
      </c>
      <c r="H193" s="6">
        <f t="shared" si="30"/>
        <v>131.39816584752191</v>
      </c>
      <c r="I193" s="6">
        <f t="shared" si="31"/>
        <v>386.28607373809695</v>
      </c>
      <c r="J193" s="6">
        <f t="shared" si="32"/>
        <v>0.96477748324254298</v>
      </c>
      <c r="K193" s="19">
        <f t="shared" si="26"/>
        <v>2929.8926895366235</v>
      </c>
      <c r="L193" s="19">
        <f t="shared" si="33"/>
        <v>54478.122937074681</v>
      </c>
      <c r="M193" s="19">
        <f t="shared" ref="M193:M220" si="36">L193/737.56</f>
        <v>73.862632107319655</v>
      </c>
      <c r="N193" s="20">
        <f t="shared" ref="N193:N220" si="37">$F$13/L193/60</f>
        <v>68.887106202855037</v>
      </c>
      <c r="O193" s="19">
        <f t="shared" si="34"/>
        <v>1.1481184367142507</v>
      </c>
      <c r="P193" s="20">
        <f t="shared" si="35"/>
        <v>245.05294696667804</v>
      </c>
    </row>
    <row r="194" spans="1:16" x14ac:dyDescent="0.25">
      <c r="A194">
        <v>365</v>
      </c>
      <c r="B194" s="33">
        <f t="shared" si="27"/>
        <v>216.40316205533597</v>
      </c>
      <c r="C194" s="40">
        <f t="shared" si="28"/>
        <v>1.7579656186057703E-3</v>
      </c>
      <c r="D194" s="23">
        <f t="shared" si="29"/>
        <v>1.675796561860577E-2</v>
      </c>
      <c r="E194" s="19">
        <f t="shared" si="24"/>
        <v>0.23332888022615153</v>
      </c>
      <c r="F194" s="19">
        <f t="shared" si="23"/>
        <v>13.923460969933894</v>
      </c>
      <c r="G194" s="19">
        <f t="shared" si="25"/>
        <v>5082.0632540258712</v>
      </c>
      <c r="H194" s="6">
        <f t="shared" si="30"/>
        <v>134.27446102864906</v>
      </c>
      <c r="I194" s="6">
        <f t="shared" si="31"/>
        <v>391.49938165253013</v>
      </c>
      <c r="J194" s="6">
        <f t="shared" si="32"/>
        <v>0.96497104651342369</v>
      </c>
      <c r="K194" s="19">
        <f t="shared" si="26"/>
        <v>2907.535907125352</v>
      </c>
      <c r="L194" s="19">
        <f t="shared" si="33"/>
        <v>56432.525966610992</v>
      </c>
      <c r="M194" s="19">
        <f t="shared" si="36"/>
        <v>76.512454534696829</v>
      </c>
      <c r="N194" s="20">
        <f t="shared" si="37"/>
        <v>66.501369134510682</v>
      </c>
      <c r="O194" s="19">
        <f t="shared" si="34"/>
        <v>1.1083561522418446</v>
      </c>
      <c r="P194" s="20">
        <f t="shared" si="35"/>
        <v>239.85177602862052</v>
      </c>
    </row>
    <row r="195" spans="1:16" x14ac:dyDescent="0.25">
      <c r="A195">
        <v>370</v>
      </c>
      <c r="B195" s="33">
        <f t="shared" si="27"/>
        <v>219.36758893280631</v>
      </c>
      <c r="C195" s="40">
        <f t="shared" si="28"/>
        <v>1.6648493414813594E-3</v>
      </c>
      <c r="D195" s="23">
        <f t="shared" si="29"/>
        <v>1.6664849341481359E-2</v>
      </c>
      <c r="E195" s="19">
        <f t="shared" si="24"/>
        <v>0.22706530363863428</v>
      </c>
      <c r="F195" s="19">
        <f t="shared" si="23"/>
        <v>13.625403925700907</v>
      </c>
      <c r="G195" s="19">
        <f t="shared" si="25"/>
        <v>5041.3994525093358</v>
      </c>
      <c r="H195" s="6">
        <f t="shared" si="30"/>
        <v>137.21172800351545</v>
      </c>
      <c r="I195" s="6">
        <f t="shared" si="31"/>
        <v>396.71846641476117</v>
      </c>
      <c r="J195" s="6">
        <f t="shared" si="32"/>
        <v>0.96515218090455179</v>
      </c>
      <c r="K195" s="19">
        <f t="shared" si="26"/>
        <v>2884.8128516207898</v>
      </c>
      <c r="L195" s="19">
        <f t="shared" si="33"/>
        <v>58445.980927208155</v>
      </c>
      <c r="M195" s="19">
        <f t="shared" si="36"/>
        <v>79.242340863398454</v>
      </c>
      <c r="N195" s="20">
        <f t="shared" si="37"/>
        <v>64.21040730195719</v>
      </c>
      <c r="O195" s="19">
        <f t="shared" si="34"/>
        <v>1.0701734550326198</v>
      </c>
      <c r="P195" s="20">
        <f t="shared" si="35"/>
        <v>234.76137057039682</v>
      </c>
    </row>
    <row r="196" spans="1:16" x14ac:dyDescent="0.25">
      <c r="A196">
        <v>375</v>
      </c>
      <c r="B196" s="33">
        <f t="shared" si="27"/>
        <v>222.33201581027672</v>
      </c>
      <c r="C196" s="40">
        <f t="shared" si="28"/>
        <v>1.577817483279194E-3</v>
      </c>
      <c r="D196" s="23">
        <f t="shared" si="29"/>
        <v>1.6577817483279193E-2</v>
      </c>
      <c r="E196" s="19">
        <f t="shared" si="24"/>
        <v>0.22105059604002872</v>
      </c>
      <c r="F196" s="19">
        <f t="shared" si="23"/>
        <v>13.334119299056463</v>
      </c>
      <c r="G196" s="19">
        <f t="shared" si="25"/>
        <v>5000.2947371461732</v>
      </c>
      <c r="H196" s="6">
        <f t="shared" si="30"/>
        <v>140.20912633679507</v>
      </c>
      <c r="I196" s="6">
        <f t="shared" si="31"/>
        <v>401.94295590481306</v>
      </c>
      <c r="J196" s="6">
        <f t="shared" si="32"/>
        <v>0.96532183514884207</v>
      </c>
      <c r="K196" s="19">
        <f t="shared" si="26"/>
        <v>2861.7946790199853</v>
      </c>
      <c r="L196" s="19">
        <f t="shared" si="33"/>
        <v>60519.162811633854</v>
      </c>
      <c r="M196" s="19">
        <f t="shared" si="36"/>
        <v>82.053206263400753</v>
      </c>
      <c r="N196" s="20">
        <f t="shared" si="37"/>
        <v>62.010775862501397</v>
      </c>
      <c r="O196" s="19">
        <f t="shared" si="34"/>
        <v>1.03351293104169</v>
      </c>
      <c r="P196" s="20">
        <f t="shared" si="35"/>
        <v>229.78301332448643</v>
      </c>
    </row>
    <row r="197" spans="1:16" x14ac:dyDescent="0.25">
      <c r="A197">
        <v>380</v>
      </c>
      <c r="B197" s="33">
        <f t="shared" si="27"/>
        <v>225.29644268774709</v>
      </c>
      <c r="C197" s="40">
        <f t="shared" si="28"/>
        <v>1.4963991349629215E-3</v>
      </c>
      <c r="D197" s="23">
        <f t="shared" si="29"/>
        <v>1.6496399134962921E-2</v>
      </c>
      <c r="E197" s="19">
        <f t="shared" si="24"/>
        <v>0.21527174562416229</v>
      </c>
      <c r="F197" s="19">
        <f t="shared" si="23"/>
        <v>13.049620336107742</v>
      </c>
      <c r="G197" s="19">
        <f t="shared" si="25"/>
        <v>4958.855727720942</v>
      </c>
      <c r="H197" s="6">
        <f t="shared" si="30"/>
        <v>143.26587051872286</v>
      </c>
      <c r="I197" s="6">
        <f t="shared" si="31"/>
        <v>407.17250608112636</v>
      </c>
      <c r="J197" s="6">
        <f t="shared" si="32"/>
        <v>0.96548087506714053</v>
      </c>
      <c r="K197" s="19">
        <f t="shared" si="26"/>
        <v>2838.5456723310581</v>
      </c>
      <c r="L197" s="19">
        <f t="shared" si="33"/>
        <v>62652.752406731808</v>
      </c>
      <c r="M197" s="19">
        <f t="shared" si="36"/>
        <v>84.945973760415171</v>
      </c>
      <c r="N197" s="20">
        <f t="shared" si="37"/>
        <v>59.899048267434587</v>
      </c>
      <c r="O197" s="19">
        <f t="shared" si="34"/>
        <v>0.99831747112390978</v>
      </c>
      <c r="P197" s="20">
        <f t="shared" si="35"/>
        <v>224.91737491724456</v>
      </c>
    </row>
    <row r="198" spans="1:16" x14ac:dyDescent="0.25">
      <c r="A198">
        <v>385</v>
      </c>
      <c r="B198" s="33">
        <f t="shared" si="27"/>
        <v>228.2608695652174</v>
      </c>
      <c r="C198" s="40">
        <f t="shared" si="28"/>
        <v>1.4201653651210642E-3</v>
      </c>
      <c r="D198" s="23">
        <f t="shared" si="29"/>
        <v>1.6420165365121062E-2</v>
      </c>
      <c r="E198" s="19">
        <f t="shared" si="24"/>
        <v>0.20971657998400428</v>
      </c>
      <c r="F198" s="19">
        <f t="shared" si="23"/>
        <v>12.771892080299892</v>
      </c>
      <c r="G198" s="19">
        <f t="shared" si="25"/>
        <v>4917.1784509154586</v>
      </c>
      <c r="H198" s="6">
        <f t="shared" si="30"/>
        <v>146.38122571322307</v>
      </c>
      <c r="I198" s="6">
        <f t="shared" si="31"/>
        <v>412.40679857464801</v>
      </c>
      <c r="J198" s="6">
        <f t="shared" si="32"/>
        <v>0.96563009166257763</v>
      </c>
      <c r="K198" s="19">
        <f t="shared" si="26"/>
        <v>2815.1238013510351</v>
      </c>
      <c r="L198" s="19">
        <f t="shared" si="33"/>
        <v>64847.435870785645</v>
      </c>
      <c r="M198" s="19">
        <f t="shared" si="36"/>
        <v>87.92157366286898</v>
      </c>
      <c r="N198" s="20">
        <f t="shared" si="37"/>
        <v>57.871837029552388</v>
      </c>
      <c r="O198" s="19">
        <f t="shared" si="34"/>
        <v>0.96453061715920652</v>
      </c>
      <c r="P198" s="20">
        <f t="shared" si="35"/>
        <v>220.16459739503628</v>
      </c>
    </row>
    <row r="199" spans="1:16" x14ac:dyDescent="0.25">
      <c r="A199">
        <v>390</v>
      </c>
      <c r="B199" s="33">
        <f t="shared" si="27"/>
        <v>231.22529644268775</v>
      </c>
      <c r="C199" s="40">
        <f t="shared" si="28"/>
        <v>1.3487249973870297E-3</v>
      </c>
      <c r="D199" s="23">
        <f t="shared" si="29"/>
        <v>1.6348724997387029E-2</v>
      </c>
      <c r="E199" s="19">
        <f t="shared" si="24"/>
        <v>0.20437370196008572</v>
      </c>
      <c r="F199" s="19">
        <f t="shared" si="23"/>
        <v>12.500895451648383</v>
      </c>
      <c r="G199" s="19">
        <f t="shared" si="25"/>
        <v>4875.3492261428692</v>
      </c>
      <c r="H199" s="6">
        <f t="shared" si="30"/>
        <v>149.55450388514222</v>
      </c>
      <c r="I199" s="6">
        <f t="shared" si="31"/>
        <v>417.64553851144211</v>
      </c>
      <c r="J199" s="6">
        <f t="shared" si="32"/>
        <v>0.96577020834858429</v>
      </c>
      <c r="K199" s="19">
        <f t="shared" si="26"/>
        <v>2791.5812477692339</v>
      </c>
      <c r="L199" s="19">
        <f t="shared" si="33"/>
        <v>67103.90434840403</v>
      </c>
      <c r="M199" s="19">
        <f t="shared" si="36"/>
        <v>90.980943039758174</v>
      </c>
      <c r="N199" s="20">
        <f t="shared" si="37"/>
        <v>55.925810531287105</v>
      </c>
      <c r="O199" s="19">
        <f t="shared" si="34"/>
        <v>0.93209684218811839</v>
      </c>
      <c r="P199" s="20">
        <f t="shared" si="35"/>
        <v>215.52436864824082</v>
      </c>
    </row>
    <row r="200" spans="1:16" x14ac:dyDescent="0.25">
      <c r="A200">
        <v>395</v>
      </c>
      <c r="B200" s="33">
        <f t="shared" si="27"/>
        <v>234.18972332015818</v>
      </c>
      <c r="C200" s="40">
        <f t="shared" si="28"/>
        <v>1.2817208597558692E-3</v>
      </c>
      <c r="D200" s="23">
        <f t="shared" si="29"/>
        <v>1.628172085975587E-2</v>
      </c>
      <c r="E200" s="19">
        <f t="shared" si="24"/>
        <v>0.19923243113686293</v>
      </c>
      <c r="F200" s="19">
        <f t="shared" si="23"/>
        <v>12.236570866984525</v>
      </c>
      <c r="G200" s="19">
        <f t="shared" si="25"/>
        <v>4833.4454924588872</v>
      </c>
      <c r="H200" s="6">
        <f t="shared" si="30"/>
        <v>152.785060268443</v>
      </c>
      <c r="I200" s="6">
        <f t="shared" si="31"/>
        <v>422.88845254024488</v>
      </c>
      <c r="J200" s="6">
        <f t="shared" si="32"/>
        <v>0.96590188741065208</v>
      </c>
      <c r="K200" s="19">
        <f t="shared" si="26"/>
        <v>2767.9648955706816</v>
      </c>
      <c r="L200" s="19">
        <f t="shared" si="33"/>
        <v>69422.853619013826</v>
      </c>
      <c r="M200" s="19">
        <f t="shared" si="36"/>
        <v>94.125025244066691</v>
      </c>
      <c r="N200" s="20">
        <f t="shared" si="37"/>
        <v>54.057706430416928</v>
      </c>
      <c r="O200" s="19">
        <f t="shared" si="34"/>
        <v>0.90096177384028209</v>
      </c>
      <c r="P200" s="20">
        <f t="shared" si="35"/>
        <v>210.99598853769459</v>
      </c>
    </row>
    <row r="201" spans="1:16" x14ac:dyDescent="0.25">
      <c r="A201">
        <v>400</v>
      </c>
      <c r="B201" s="33">
        <f t="shared" si="27"/>
        <v>237.1541501976285</v>
      </c>
      <c r="C201" s="40">
        <f t="shared" si="28"/>
        <v>1.2188264479218933E-3</v>
      </c>
      <c r="D201" s="23">
        <f t="shared" si="29"/>
        <v>1.6218826447921893E-2</v>
      </c>
      <c r="E201" s="19">
        <f t="shared" si="24"/>
        <v>0.19428275042580648</v>
      </c>
      <c r="F201" s="19">
        <f t="shared" si="23"/>
        <v>11.978841443901127</v>
      </c>
      <c r="G201" s="19">
        <f t="shared" si="25"/>
        <v>4791.5365775604505</v>
      </c>
      <c r="H201" s="6">
        <f t="shared" si="30"/>
        <v>156.07229014147853</v>
      </c>
      <c r="I201" s="6">
        <f t="shared" si="31"/>
        <v>428.13528704397748</v>
      </c>
      <c r="J201" s="6">
        <f t="shared" si="32"/>
        <v>0.96602573578961204</v>
      </c>
      <c r="K201" s="19">
        <f t="shared" si="26"/>
        <v>2744.3167872928898</v>
      </c>
      <c r="L201" s="19">
        <f t="shared" si="33"/>
        <v>71804.983775513494</v>
      </c>
      <c r="M201" s="19">
        <f t="shared" si="36"/>
        <v>97.354769477077795</v>
      </c>
      <c r="N201" s="20">
        <f t="shared" si="37"/>
        <v>52.264342155289611</v>
      </c>
      <c r="O201" s="19">
        <f t="shared" si="34"/>
        <v>0.87107236925482689</v>
      </c>
      <c r="P201" s="20">
        <f t="shared" si="35"/>
        <v>206.57842749126334</v>
      </c>
    </row>
    <row r="202" spans="1:16" x14ac:dyDescent="0.25">
      <c r="A202">
        <v>405</v>
      </c>
      <c r="B202" s="33">
        <f t="shared" si="27"/>
        <v>240.11857707509881</v>
      </c>
      <c r="C202" s="40">
        <f t="shared" si="28"/>
        <v>1.1597429524743763E-3</v>
      </c>
      <c r="D202" s="23">
        <f t="shared" si="29"/>
        <v>1.6159742952474375E-2</v>
      </c>
      <c r="E202" s="19">
        <f t="shared" si="24"/>
        <v>0.18951525723596424</v>
      </c>
      <c r="F202" s="19">
        <f t="shared" si="23"/>
        <v>11.727615828625895</v>
      </c>
      <c r="G202" s="19">
        <f t="shared" si="25"/>
        <v>4749.6844105934879</v>
      </c>
      <c r="H202" s="6">
        <f t="shared" si="30"/>
        <v>159.41562587920805</v>
      </c>
      <c r="I202" s="6">
        <f t="shared" si="31"/>
        <v>433.38580651652825</v>
      </c>
      <c r="J202" s="6">
        <f t="shared" si="32"/>
        <v>0.96614231026349251</v>
      </c>
      <c r="K202" s="19">
        <f t="shared" si="26"/>
        <v>2720.6745471185495</v>
      </c>
      <c r="L202" s="19">
        <f t="shared" si="33"/>
        <v>74250.998930042755</v>
      </c>
      <c r="M202" s="19">
        <f t="shared" si="36"/>
        <v>100.67113038945003</v>
      </c>
      <c r="N202" s="20">
        <f t="shared" si="37"/>
        <v>50.542622921939135</v>
      </c>
      <c r="O202" s="19">
        <f t="shared" si="34"/>
        <v>0.84237704869898555</v>
      </c>
      <c r="P202" s="20">
        <f t="shared" si="35"/>
        <v>202.27037829432163</v>
      </c>
    </row>
    <row r="203" spans="1:16" x14ac:dyDescent="0.25">
      <c r="A203">
        <v>410</v>
      </c>
      <c r="B203" s="33">
        <f t="shared" si="27"/>
        <v>243.08300395256921</v>
      </c>
      <c r="C203" s="40">
        <f t="shared" si="28"/>
        <v>1.1041966063938338E-3</v>
      </c>
      <c r="D203" s="23">
        <f t="shared" si="29"/>
        <v>1.6104196606393832E-2</v>
      </c>
      <c r="E203" s="19">
        <f t="shared" si="24"/>
        <v>0.18492111878720424</v>
      </c>
      <c r="F203" s="19">
        <f t="shared" si="23"/>
        <v>11.482790685366149</v>
      </c>
      <c r="G203" s="19">
        <f t="shared" si="25"/>
        <v>4707.9441810001208</v>
      </c>
      <c r="H203" s="6">
        <f t="shared" si="30"/>
        <v>162.81453425550185</v>
      </c>
      <c r="I203" s="6">
        <f t="shared" si="31"/>
        <v>438.63979208814692</v>
      </c>
      <c r="J203" s="6">
        <f t="shared" si="32"/>
        <v>0.9662521220956698</v>
      </c>
      <c r="K203" s="19">
        <f t="shared" si="26"/>
        <v>2697.0717720944631</v>
      </c>
      <c r="L203" s="19">
        <f t="shared" si="33"/>
        <v>76761.606944176427</v>
      </c>
      <c r="M203" s="19">
        <f t="shared" si="36"/>
        <v>104.07506771540815</v>
      </c>
      <c r="N203" s="20">
        <f t="shared" si="37"/>
        <v>48.889547651440466</v>
      </c>
      <c r="O203" s="19">
        <f t="shared" si="34"/>
        <v>0.81482579419067447</v>
      </c>
      <c r="P203" s="20">
        <f t="shared" si="35"/>
        <v>198.07030174990706</v>
      </c>
    </row>
    <row r="204" spans="1:16" x14ac:dyDescent="0.25">
      <c r="A204">
        <v>415</v>
      </c>
      <c r="B204" s="33">
        <f t="shared" si="27"/>
        <v>246.04743083003953</v>
      </c>
      <c r="C204" s="40">
        <f t="shared" si="28"/>
        <v>1.0519363149589876E-3</v>
      </c>
      <c r="D204" s="23">
        <f t="shared" si="29"/>
        <v>1.6051936314958985E-2</v>
      </c>
      <c r="E204" s="19">
        <f t="shared" si="24"/>
        <v>0.18049203116927875</v>
      </c>
      <c r="F204" s="19">
        <f t="shared" si="23"/>
        <v>11.244252881882925</v>
      </c>
      <c r="G204" s="19">
        <f t="shared" si="25"/>
        <v>4666.3649459814142</v>
      </c>
      <c r="H204" s="6">
        <f t="shared" si="30"/>
        <v>166.26851397157773</v>
      </c>
      <c r="I204" s="6">
        <f t="shared" si="31"/>
        <v>443.89704018459395</v>
      </c>
      <c r="J204" s="6">
        <f t="shared" si="32"/>
        <v>0.96635564120888873</v>
      </c>
      <c r="K204" s="19">
        <f t="shared" si="26"/>
        <v>2673.5383929774021</v>
      </c>
      <c r="L204" s="19">
        <f t="shared" si="33"/>
        <v>79337.519181154959</v>
      </c>
      <c r="M204" s="19">
        <f t="shared" si="36"/>
        <v>107.56754593681187</v>
      </c>
      <c r="N204" s="20">
        <f t="shared" si="37"/>
        <v>47.302213117219182</v>
      </c>
      <c r="O204" s="19">
        <f t="shared" si="34"/>
        <v>0.78837021862031975</v>
      </c>
      <c r="P204" s="20">
        <f t="shared" si="35"/>
        <v>193.97646683444626</v>
      </c>
    </row>
    <row r="205" spans="1:16" x14ac:dyDescent="0.25">
      <c r="A205">
        <v>420</v>
      </c>
      <c r="B205" s="33">
        <f t="shared" si="27"/>
        <v>249.0118577075099</v>
      </c>
      <c r="C205" s="40">
        <f t="shared" si="28"/>
        <v>1.00273153504714E-3</v>
      </c>
      <c r="D205" s="23">
        <f t="shared" si="29"/>
        <v>1.6002731535047138E-2</v>
      </c>
      <c r="E205" s="19">
        <f t="shared" si="24"/>
        <v>0.17622018179211468</v>
      </c>
      <c r="F205" s="19">
        <f t="shared" si="23"/>
        <v>11.011881403257922</v>
      </c>
      <c r="G205" s="19">
        <f t="shared" si="25"/>
        <v>4624.9901893683273</v>
      </c>
      <c r="H205" s="6">
        <f t="shared" si="30"/>
        <v>169.77709338916267</v>
      </c>
      <c r="I205" s="6">
        <f t="shared" si="31"/>
        <v>449.15736130678226</v>
      </c>
      <c r="J205" s="6">
        <f t="shared" si="32"/>
        <v>0.96645329993760387</v>
      </c>
      <c r="K205" s="19">
        <f t="shared" si="26"/>
        <v>2650.1010063403542</v>
      </c>
      <c r="L205" s="19">
        <f t="shared" si="33"/>
        <v>81979.450278033211</v>
      </c>
      <c r="M205" s="19">
        <f t="shared" si="36"/>
        <v>111.14953397423018</v>
      </c>
      <c r="N205" s="20">
        <f t="shared" si="37"/>
        <v>45.777816608561089</v>
      </c>
      <c r="O205" s="19">
        <f t="shared" si="34"/>
        <v>0.76296361014268477</v>
      </c>
      <c r="P205" s="20">
        <f t="shared" si="35"/>
        <v>189.98698592485829</v>
      </c>
    </row>
    <row r="206" spans="1:16" x14ac:dyDescent="0.25">
      <c r="A206">
        <v>425</v>
      </c>
      <c r="B206" s="33">
        <f t="shared" si="27"/>
        <v>251.97628458498025</v>
      </c>
      <c r="C206" s="40">
        <f t="shared" si="28"/>
        <v>9.5637037500759313E-4</v>
      </c>
      <c r="D206" s="23">
        <f t="shared" si="29"/>
        <v>1.5956370375007592E-2</v>
      </c>
      <c r="E206" s="19">
        <f t="shared" si="24"/>
        <v>0.17209821491005695</v>
      </c>
      <c r="F206" s="19">
        <f t="shared" si="23"/>
        <v>10.785549023079446</v>
      </c>
      <c r="G206" s="19">
        <f t="shared" si="25"/>
        <v>4583.8583348087641</v>
      </c>
      <c r="H206" s="6">
        <f t="shared" si="30"/>
        <v>173.33982844922565</v>
      </c>
      <c r="I206" s="6">
        <f t="shared" si="31"/>
        <v>454.42057891906302</v>
      </c>
      <c r="J206" s="6">
        <f t="shared" si="32"/>
        <v>0.96654549640488818</v>
      </c>
      <c r="K206" s="19">
        <f t="shared" si="26"/>
        <v>2626.7831796447163</v>
      </c>
      <c r="L206" s="19">
        <f t="shared" si="33"/>
        <v>84688.117935860617</v>
      </c>
      <c r="M206" s="19">
        <f t="shared" si="36"/>
        <v>114.82200490246302</v>
      </c>
      <c r="N206" s="20">
        <f t="shared" si="37"/>
        <v>44.313657357939015</v>
      </c>
      <c r="O206" s="19">
        <f t="shared" si="34"/>
        <v>0.73856095596565019</v>
      </c>
      <c r="P206" s="20">
        <f t="shared" si="35"/>
        <v>186.09984562375573</v>
      </c>
    </row>
    <row r="207" spans="1:16" x14ac:dyDescent="0.25">
      <c r="A207">
        <v>430</v>
      </c>
      <c r="B207" s="33">
        <f t="shared" si="27"/>
        <v>254.94071146245057</v>
      </c>
      <c r="C207" s="40">
        <f t="shared" si="28"/>
        <v>9.1265788990937079E-4</v>
      </c>
      <c r="D207" s="23">
        <f t="shared" si="29"/>
        <v>1.5912657889909369E-2</v>
      </c>
      <c r="E207" s="19">
        <f t="shared" si="24"/>
        <v>0.16811919993579794</v>
      </c>
      <c r="F207" s="19">
        <f t="shared" si="23"/>
        <v>10.565123758640391</v>
      </c>
      <c r="G207" s="19">
        <f t="shared" si="25"/>
        <v>4543.0032162153684</v>
      </c>
      <c r="H207" s="6">
        <f t="shared" si="30"/>
        <v>176.95630075912106</v>
      </c>
      <c r="I207" s="6">
        <f t="shared" si="31"/>
        <v>459.68652843556112</v>
      </c>
      <c r="J207" s="6">
        <f t="shared" si="32"/>
        <v>0.96663259756471476</v>
      </c>
      <c r="K207" s="19">
        <f t="shared" si="26"/>
        <v>2603.6057310089609</v>
      </c>
      <c r="L207" s="19">
        <f t="shared" si="33"/>
        <v>87464.242726211945</v>
      </c>
      <c r="M207" s="19">
        <f t="shared" si="36"/>
        <v>118.5859356882314</v>
      </c>
      <c r="N207" s="20">
        <f t="shared" si="37"/>
        <v>42.907136945619229</v>
      </c>
      <c r="O207" s="19">
        <f t="shared" si="34"/>
        <v>0.71511894909365381</v>
      </c>
      <c r="P207" s="20">
        <f t="shared" si="35"/>
        <v>182.31293366221607</v>
      </c>
    </row>
    <row r="208" spans="1:16" x14ac:dyDescent="0.25">
      <c r="A208">
        <v>435</v>
      </c>
      <c r="B208" s="33">
        <f t="shared" si="27"/>
        <v>257.905138339921</v>
      </c>
      <c r="C208" s="40">
        <f t="shared" si="28"/>
        <v>8.7141455009527352E-4</v>
      </c>
      <c r="D208" s="23">
        <f t="shared" si="29"/>
        <v>1.5871414550095272E-2</v>
      </c>
      <c r="E208" s="19">
        <f t="shared" si="24"/>
        <v>0.16427660228896307</v>
      </c>
      <c r="F208" s="19">
        <f t="shared" si="23"/>
        <v>10.350470134243766</v>
      </c>
      <c r="G208" s="19">
        <f t="shared" si="25"/>
        <v>4502.4545083960384</v>
      </c>
      <c r="H208" s="6">
        <f t="shared" si="30"/>
        <v>180.62611583274716</v>
      </c>
      <c r="I208" s="6">
        <f t="shared" si="31"/>
        <v>464.95505629508017</v>
      </c>
      <c r="J208" s="6">
        <f t="shared" si="32"/>
        <v>0.96671494194565832</v>
      </c>
      <c r="K208" s="19">
        <f t="shared" si="26"/>
        <v>2580.5869853935046</v>
      </c>
      <c r="L208" s="19">
        <f t="shared" si="33"/>
        <v>90308.547912567577</v>
      </c>
      <c r="M208" s="19">
        <f t="shared" si="36"/>
        <v>122.44230694800096</v>
      </c>
      <c r="N208" s="20">
        <f t="shared" si="37"/>
        <v>41.555758864950164</v>
      </c>
      <c r="O208" s="19">
        <f t="shared" si="34"/>
        <v>0.69259598108250275</v>
      </c>
      <c r="P208" s="20">
        <f t="shared" si="35"/>
        <v>178.62406231475617</v>
      </c>
    </row>
    <row r="209" spans="1:16" x14ac:dyDescent="0.25">
      <c r="A209">
        <v>440</v>
      </c>
      <c r="B209" s="33">
        <f t="shared" si="27"/>
        <v>260.86956521739131</v>
      </c>
      <c r="C209" s="40">
        <f t="shared" si="28"/>
        <v>8.324748636854678E-4</v>
      </c>
      <c r="D209" s="23">
        <f t="shared" si="29"/>
        <v>1.5832474863685466E-2</v>
      </c>
      <c r="E209" s="19">
        <f t="shared" si="24"/>
        <v>0.1605642565502533</v>
      </c>
      <c r="F209" s="19">
        <f t="shared" si="23"/>
        <v>10.141450274368371</v>
      </c>
      <c r="G209" s="19">
        <f t="shared" si="25"/>
        <v>4462.2381207220833</v>
      </c>
      <c r="H209" s="6">
        <f t="shared" si="30"/>
        <v>184.34890146988812</v>
      </c>
      <c r="I209" s="6">
        <f t="shared" si="31"/>
        <v>470.22601911608569</v>
      </c>
      <c r="J209" s="6">
        <f t="shared" si="32"/>
        <v>0.96679284212789485</v>
      </c>
      <c r="K209" s="19">
        <f t="shared" si="26"/>
        <v>2557.7430088839956</v>
      </c>
      <c r="L209" s="19">
        <f t="shared" si="33"/>
        <v>93221.759285199863</v>
      </c>
      <c r="M209" s="19">
        <f t="shared" si="36"/>
        <v>126.39210272411718</v>
      </c>
      <c r="N209" s="20">
        <f t="shared" si="37"/>
        <v>40.257127405385368</v>
      </c>
      <c r="O209" s="19">
        <f t="shared" si="34"/>
        <v>0.67095212342308941</v>
      </c>
      <c r="P209" s="20">
        <f t="shared" si="35"/>
        <v>175.03098871906681</v>
      </c>
    </row>
    <row r="210" spans="1:16" x14ac:dyDescent="0.25">
      <c r="A210">
        <v>445</v>
      </c>
      <c r="B210" s="33">
        <f t="shared" si="27"/>
        <v>263.83399209486163</v>
      </c>
      <c r="C210" s="40">
        <f t="shared" si="28"/>
        <v>7.9568613602566023E-4</v>
      </c>
      <c r="D210" s="23">
        <f t="shared" si="29"/>
        <v>1.5795686136025659E-2</v>
      </c>
      <c r="E210" s="19">
        <f t="shared" si="24"/>
        <v>0.15697634171508162</v>
      </c>
      <c r="F210" s="19">
        <f t="shared" si="23"/>
        <v>9.937924846269345</v>
      </c>
      <c r="G210" s="19">
        <f t="shared" si="25"/>
        <v>4422.3765565898584</v>
      </c>
      <c r="H210" s="6">
        <f t="shared" si="30"/>
        <v>188.12430626230099</v>
      </c>
      <c r="I210" s="6">
        <f t="shared" si="31"/>
        <v>475.49928292415416</v>
      </c>
      <c r="J210" s="6">
        <f t="shared" si="32"/>
        <v>0.96686658698172268</v>
      </c>
      <c r="K210" s="19">
        <f t="shared" si="26"/>
        <v>2535.0878226984305</v>
      </c>
      <c r="L210" s="19">
        <f t="shared" si="33"/>
        <v>96204.605008362239</v>
      </c>
      <c r="M210" s="19">
        <f t="shared" si="36"/>
        <v>130.43631027762115</v>
      </c>
      <c r="N210" s="20">
        <f t="shared" si="37"/>
        <v>39.008945987276334</v>
      </c>
      <c r="O210" s="19">
        <f t="shared" si="34"/>
        <v>0.65014909978793889</v>
      </c>
      <c r="P210" s="20">
        <f t="shared" si="35"/>
        <v>171.53143245393247</v>
      </c>
    </row>
    <row r="211" spans="1:16" x14ac:dyDescent="0.25">
      <c r="A211">
        <v>450</v>
      </c>
      <c r="B211" s="33">
        <f t="shared" si="27"/>
        <v>266.79841897233206</v>
      </c>
      <c r="C211" s="40">
        <f t="shared" si="28"/>
        <v>7.6090735111843826E-4</v>
      </c>
      <c r="D211" s="23">
        <f t="shared" si="29"/>
        <v>1.5760907351118437E-2</v>
      </c>
      <c r="E211" s="19">
        <f t="shared" si="24"/>
        <v>0.15350735836113102</v>
      </c>
      <c r="F211" s="19">
        <f t="shared" si="23"/>
        <v>9.7397538695789443</v>
      </c>
      <c r="G211" s="19">
        <f t="shared" si="25"/>
        <v>4382.889241310525</v>
      </c>
      <c r="H211" s="6">
        <f t="shared" si="30"/>
        <v>191.95199821534368</v>
      </c>
      <c r="I211" s="6">
        <f t="shared" si="31"/>
        <v>480.7747224450593</v>
      </c>
      <c r="J211" s="6">
        <f t="shared" si="32"/>
        <v>0.96693644369260801</v>
      </c>
      <c r="K211" s="19">
        <f t="shared" si="26"/>
        <v>2512.6335984731577</v>
      </c>
      <c r="L211" s="19">
        <f t="shared" si="33"/>
        <v>99257.815478700577</v>
      </c>
      <c r="M211" s="19">
        <f t="shared" si="36"/>
        <v>134.57591989628042</v>
      </c>
      <c r="N211" s="20">
        <f t="shared" si="37"/>
        <v>37.809015062433716</v>
      </c>
      <c r="O211" s="19">
        <f t="shared" si="34"/>
        <v>0.63015025104056199</v>
      </c>
      <c r="P211" s="20">
        <f t="shared" si="35"/>
        <v>168.12309069264009</v>
      </c>
    </row>
    <row r="212" spans="1:16" x14ac:dyDescent="0.25">
      <c r="A212">
        <v>455</v>
      </c>
      <c r="B212" s="33">
        <f t="shared" si="27"/>
        <v>269.76284584980243</v>
      </c>
      <c r="C212" s="40">
        <f t="shared" si="28"/>
        <v>7.2800816185488945E-4</v>
      </c>
      <c r="D212" s="23">
        <f t="shared" si="29"/>
        <v>1.5728008161854889E-2</v>
      </c>
      <c r="E212" s="19">
        <f t="shared" si="24"/>
        <v>0.15015210756251193</v>
      </c>
      <c r="F212" s="19">
        <f t="shared" si="23"/>
        <v>9.5467974086302672</v>
      </c>
      <c r="G212" s="19">
        <f t="shared" si="25"/>
        <v>4343.7928209267711</v>
      </c>
      <c r="H212" s="6">
        <f t="shared" si="30"/>
        <v>195.831663475044</v>
      </c>
      <c r="I212" s="6">
        <f t="shared" si="31"/>
        <v>486.05222045736258</v>
      </c>
      <c r="J212" s="6">
        <f t="shared" si="32"/>
        <v>0.96700265959494691</v>
      </c>
      <c r="K212" s="19">
        <f t="shared" si="26"/>
        <v>2490.3908363037308</v>
      </c>
      <c r="L212" s="19">
        <f t="shared" si="33"/>
        <v>102382.1231939162</v>
      </c>
      <c r="M212" s="19">
        <f t="shared" si="36"/>
        <v>138.8119247165196</v>
      </c>
      <c r="N212" s="20">
        <f t="shared" si="37"/>
        <v>36.655229677063971</v>
      </c>
      <c r="O212" s="19">
        <f t="shared" si="34"/>
        <v>0.6109204946177329</v>
      </c>
      <c r="P212" s="20">
        <f t="shared" si="35"/>
        <v>164.80365121604854</v>
      </c>
    </row>
    <row r="213" spans="1:16" x14ac:dyDescent="0.25">
      <c r="A213">
        <v>460</v>
      </c>
      <c r="B213" s="33">
        <f t="shared" si="27"/>
        <v>272.72727272727275</v>
      </c>
      <c r="C213" s="40">
        <f t="shared" si="28"/>
        <v>6.968679774139705E-4</v>
      </c>
      <c r="D213" s="23">
        <f t="shared" si="29"/>
        <v>1.5696867977413969E-2</v>
      </c>
      <c r="E213" s="19">
        <f t="shared" si="24"/>
        <v>0.14690567139947561</v>
      </c>
      <c r="F213" s="19">
        <f t="shared" si="23"/>
        <v>9.3589161615461371</v>
      </c>
      <c r="G213" s="19">
        <f t="shared" si="25"/>
        <v>4305.1014343112229</v>
      </c>
      <c r="H213" s="6">
        <f t="shared" si="30"/>
        <v>199.76300515149006</v>
      </c>
      <c r="I213" s="6">
        <f t="shared" si="31"/>
        <v>491.33166719899555</v>
      </c>
      <c r="J213" s="6">
        <f t="shared" si="32"/>
        <v>0.96706546383424263</v>
      </c>
      <c r="K213" s="19">
        <f t="shared" si="26"/>
        <v>2468.3685269322018</v>
      </c>
      <c r="L213" s="19">
        <f t="shared" si="33"/>
        <v>105578.26263080476</v>
      </c>
      <c r="M213" s="19">
        <f t="shared" si="36"/>
        <v>143.14532055806276</v>
      </c>
      <c r="N213" s="20">
        <f t="shared" si="37"/>
        <v>35.545576778637802</v>
      </c>
      <c r="O213" s="19">
        <f t="shared" si="34"/>
        <v>0.59242627964396333</v>
      </c>
      <c r="P213" s="20">
        <f t="shared" si="35"/>
        <v>161.57080353926273</v>
      </c>
    </row>
    <row r="214" spans="1:16" x14ac:dyDescent="0.25">
      <c r="A214">
        <v>465</v>
      </c>
      <c r="B214" s="33">
        <f t="shared" si="27"/>
        <v>275.69169960474312</v>
      </c>
      <c r="C214" s="40">
        <f t="shared" si="28"/>
        <v>6.67375137550673E-4</v>
      </c>
      <c r="D214" s="23">
        <f t="shared" si="29"/>
        <v>1.5667375137550673E-2</v>
      </c>
      <c r="E214" s="19">
        <f t="shared" si="24"/>
        <v>0.14376339492717788</v>
      </c>
      <c r="F214" s="19">
        <f t="shared" si="23"/>
        <v>9.175971958609324</v>
      </c>
      <c r="G214" s="19">
        <f t="shared" si="25"/>
        <v>4266.8269607533357</v>
      </c>
      <c r="H214" s="6">
        <f t="shared" si="30"/>
        <v>203.74574223030308</v>
      </c>
      <c r="I214" s="6">
        <f t="shared" si="31"/>
        <v>496.61295982287641</v>
      </c>
      <c r="J214" s="6">
        <f t="shared" si="32"/>
        <v>0.96712506887521643</v>
      </c>
      <c r="K214" s="19">
        <f t="shared" si="26"/>
        <v>2446.5742993856925</v>
      </c>
      <c r="L214" s="19">
        <f t="shared" si="33"/>
        <v>108846.97013188363</v>
      </c>
      <c r="M214" s="19">
        <f t="shared" si="36"/>
        <v>147.57710577022024</v>
      </c>
      <c r="N214" s="20">
        <f t="shared" si="37"/>
        <v>34.478132335253385</v>
      </c>
      <c r="O214" s="19">
        <f t="shared" si="34"/>
        <v>0.57463553892088981</v>
      </c>
      <c r="P214" s="20">
        <f t="shared" si="35"/>
        <v>158.42224837838762</v>
      </c>
    </row>
    <row r="215" spans="1:16" x14ac:dyDescent="0.25">
      <c r="A215">
        <v>470</v>
      </c>
      <c r="B215" s="33">
        <f t="shared" si="27"/>
        <v>278.65612648221344</v>
      </c>
      <c r="C215" s="40">
        <f t="shared" si="28"/>
        <v>6.3942616467757779E-4</v>
      </c>
      <c r="D215" s="23">
        <f t="shared" si="29"/>
        <v>1.5639426164677579E-2</v>
      </c>
      <c r="E215" s="19">
        <f t="shared" si="24"/>
        <v>0.1407208694799866</v>
      </c>
      <c r="F215" s="19">
        <f t="shared" si="23"/>
        <v>8.9978281810499983</v>
      </c>
      <c r="G215" s="19">
        <f t="shared" si="25"/>
        <v>4228.9792450934992</v>
      </c>
      <c r="H215" s="6">
        <f t="shared" si="30"/>
        <v>207.77960856473439</v>
      </c>
      <c r="I215" s="6">
        <f t="shared" si="31"/>
        <v>501.8960018970962</v>
      </c>
      <c r="J215" s="6">
        <f t="shared" si="32"/>
        <v>0.96718167187143822</v>
      </c>
      <c r="K215" s="19">
        <f t="shared" si="26"/>
        <v>2425.0145552840768</v>
      </c>
      <c r="L215" s="19">
        <f t="shared" si="33"/>
        <v>112188.98379989389</v>
      </c>
      <c r="M215" s="19">
        <f t="shared" si="36"/>
        <v>152.10828108885229</v>
      </c>
      <c r="N215" s="20">
        <f t="shared" si="37"/>
        <v>33.451058324872768</v>
      </c>
      <c r="O215" s="19">
        <f t="shared" si="34"/>
        <v>0.55751763874787952</v>
      </c>
      <c r="P215" s="20">
        <f t="shared" si="35"/>
        <v>155.35570565899408</v>
      </c>
    </row>
    <row r="216" spans="1:16" x14ac:dyDescent="0.25">
      <c r="A216">
        <v>475</v>
      </c>
      <c r="B216" s="33">
        <f t="shared" si="27"/>
        <v>281.62055335968381</v>
      </c>
      <c r="C216" s="40">
        <f t="shared" si="28"/>
        <v>6.1292508568081276E-4</v>
      </c>
      <c r="D216" s="23">
        <f t="shared" si="29"/>
        <v>1.5612925085680813E-2</v>
      </c>
      <c r="E216" s="19">
        <f t="shared" si="24"/>
        <v>0.13777391719946389</v>
      </c>
      <c r="F216" s="19">
        <f t="shared" si="23"/>
        <v>8.8243501101418467</v>
      </c>
      <c r="G216" s="19">
        <f t="shared" si="25"/>
        <v>4191.5663023173774</v>
      </c>
      <c r="H216" s="6">
        <f t="shared" si="30"/>
        <v>211.86435194163579</v>
      </c>
      <c r="I216" s="6">
        <f t="shared" si="31"/>
        <v>507.18070294565155</v>
      </c>
      <c r="J216" s="6">
        <f t="shared" si="32"/>
        <v>0.96723545591036508</v>
      </c>
      <c r="K216" s="19">
        <f t="shared" si="26"/>
        <v>2403.6945909488963</v>
      </c>
      <c r="L216" s="19">
        <f t="shared" si="33"/>
        <v>115605.04339953374</v>
      </c>
      <c r="M216" s="19">
        <f t="shared" si="36"/>
        <v>156.73984950313704</v>
      </c>
      <c r="N216" s="20">
        <f t="shared" si="37"/>
        <v>32.462599642202051</v>
      </c>
      <c r="O216" s="19">
        <f t="shared" si="34"/>
        <v>0.54104332737003424</v>
      </c>
      <c r="P216" s="20">
        <f t="shared" si="35"/>
        <v>152.3689212455136</v>
      </c>
    </row>
    <row r="217" spans="1:16" x14ac:dyDescent="0.25">
      <c r="A217">
        <v>480</v>
      </c>
      <c r="B217" s="33">
        <f t="shared" si="27"/>
        <v>284.58498023715418</v>
      </c>
      <c r="C217" s="40">
        <f t="shared" si="28"/>
        <v>5.8778281632035736E-4</v>
      </c>
      <c r="D217" s="23">
        <f t="shared" si="29"/>
        <v>1.5587782816320356E-2</v>
      </c>
      <c r="E217" s="19">
        <f t="shared" si="24"/>
        <v>0.13491857668458782</v>
      </c>
      <c r="F217" s="19">
        <f t="shared" si="23"/>
        <v>8.6554052153798633</v>
      </c>
      <c r="G217" s="19">
        <f t="shared" si="25"/>
        <v>4154.5945033823346</v>
      </c>
      <c r="H217" s="6">
        <f t="shared" si="30"/>
        <v>215.99973321517729</v>
      </c>
      <c r="I217" s="6">
        <f t="shared" si="31"/>
        <v>512.46697802609594</v>
      </c>
      <c r="J217" s="6">
        <f t="shared" si="32"/>
        <v>0.96728659114616677</v>
      </c>
      <c r="K217" s="19">
        <f t="shared" si="26"/>
        <v>2382.6187083624309</v>
      </c>
      <c r="L217" s="19">
        <f t="shared" si="33"/>
        <v>119095.89026583885</v>
      </c>
      <c r="M217" s="19">
        <f t="shared" si="36"/>
        <v>161.47281613135047</v>
      </c>
      <c r="N217" s="20">
        <f t="shared" si="37"/>
        <v>31.511080962756878</v>
      </c>
      <c r="O217" s="19">
        <f t="shared" si="34"/>
        <v>0.52518468271261465</v>
      </c>
      <c r="P217" s="20">
        <f t="shared" si="35"/>
        <v>149.45967255062553</v>
      </c>
    </row>
    <row r="218" spans="1:16" x14ac:dyDescent="0.25">
      <c r="A218">
        <v>485</v>
      </c>
      <c r="B218" s="33">
        <f t="shared" si="27"/>
        <v>287.54940711462456</v>
      </c>
      <c r="C218" s="40">
        <f t="shared" si="28"/>
        <v>5.639166018628429E-4</v>
      </c>
      <c r="D218" s="23">
        <f t="shared" si="29"/>
        <v>1.5563916601862843E-2</v>
      </c>
      <c r="E218" s="19">
        <f t="shared" si="24"/>
        <v>0.13215108967213959</v>
      </c>
      <c r="F218" s="19">
        <f t="shared" si="23"/>
        <v>8.4908633895097108</v>
      </c>
      <c r="G218" s="19">
        <f t="shared" si="25"/>
        <v>4118.0687439122094</v>
      </c>
      <c r="H218" s="6">
        <f t="shared" si="30"/>
        <v>220.18552550275564</v>
      </c>
      <c r="I218" s="6">
        <f t="shared" si="31"/>
        <v>517.75474734083457</v>
      </c>
      <c r="J218" s="6">
        <f t="shared" si="32"/>
        <v>0.9673352358313978</v>
      </c>
      <c r="K218" s="19">
        <f t="shared" si="26"/>
        <v>2361.7903159459838</v>
      </c>
      <c r="L218" s="19">
        <f t="shared" si="33"/>
        <v>122662.26721868035</v>
      </c>
      <c r="M218" s="19">
        <f t="shared" si="36"/>
        <v>166.30818810494111</v>
      </c>
      <c r="N218" s="20">
        <f t="shared" si="37"/>
        <v>30.594903596620732</v>
      </c>
      <c r="O218" s="19">
        <f t="shared" si="34"/>
        <v>0.50991505994367892</v>
      </c>
      <c r="P218" s="20">
        <f t="shared" si="35"/>
        <v>146.62577316562312</v>
      </c>
    </row>
    <row r="219" spans="1:16" x14ac:dyDescent="0.25">
      <c r="A219">
        <v>490</v>
      </c>
      <c r="B219" s="33">
        <f t="shared" si="27"/>
        <v>290.51383399209493</v>
      </c>
      <c r="C219" s="40">
        <f t="shared" si="28"/>
        <v>5.4124950829699872E-4</v>
      </c>
      <c r="D219" s="23">
        <f t="shared" si="29"/>
        <v>1.5541249508296998E-2</v>
      </c>
      <c r="E219" s="19">
        <f t="shared" si="24"/>
        <v>0.12946788866359449</v>
      </c>
      <c r="F219" s="19">
        <f t="shared" si="23"/>
        <v>8.3305971372813712</v>
      </c>
      <c r="G219" s="19">
        <f t="shared" si="25"/>
        <v>4081.992597267872</v>
      </c>
      <c r="H219" s="6">
        <f t="shared" si="30"/>
        <v>224.4215134380419</v>
      </c>
      <c r="I219" s="6">
        <f t="shared" si="31"/>
        <v>523.04393587910226</v>
      </c>
      <c r="J219" s="6">
        <f t="shared" si="32"/>
        <v>0.96738153725738718</v>
      </c>
      <c r="K219" s="19">
        <f t="shared" si="26"/>
        <v>2341.2120200503573</v>
      </c>
      <c r="L219" s="19">
        <f t="shared" si="33"/>
        <v>126304.91848289936</v>
      </c>
      <c r="M219" s="19">
        <f t="shared" si="36"/>
        <v>171.24697446024643</v>
      </c>
      <c r="N219" s="20">
        <f t="shared" si="37"/>
        <v>29.712542358408317</v>
      </c>
      <c r="O219" s="19">
        <f t="shared" si="34"/>
        <v>0.49520903930680527</v>
      </c>
      <c r="P219" s="20">
        <f t="shared" si="35"/>
        <v>143.86507663656204</v>
      </c>
    </row>
    <row r="220" spans="1:16" x14ac:dyDescent="0.25">
      <c r="A220">
        <v>495</v>
      </c>
      <c r="B220" s="33">
        <f t="shared" si="27"/>
        <v>293.47826086956525</v>
      </c>
      <c r="C220" s="40">
        <f t="shared" si="28"/>
        <v>5.1970995910008769E-4</v>
      </c>
      <c r="D220" s="23">
        <f t="shared" si="29"/>
        <v>1.5519709959100087E-2</v>
      </c>
      <c r="E220" s="19">
        <f t="shared" si="24"/>
        <v>0.12686558542242235</v>
      </c>
      <c r="F220" s="19">
        <f t="shared" si="23"/>
        <v>8.1744817239985768</v>
      </c>
      <c r="G220" s="19">
        <f t="shared" si="25"/>
        <v>4046.3684533792957</v>
      </c>
      <c r="H220" s="6">
        <f t="shared" si="30"/>
        <v>228.70749247657506</v>
      </c>
      <c r="I220" s="6">
        <f t="shared" si="31"/>
        <v>528.33447308695099</v>
      </c>
      <c r="J220" s="6">
        <f t="shared" si="32"/>
        <v>0.96742563261218428</v>
      </c>
      <c r="K220" s="19">
        <f t="shared" si="26"/>
        <v>2320.885707979714</v>
      </c>
      <c r="L220" s="19">
        <f t="shared" si="33"/>
        <v>130024.589613641</v>
      </c>
      <c r="M220" s="19">
        <f t="shared" si="36"/>
        <v>176.29018603725936</v>
      </c>
      <c r="N220" s="20">
        <f t="shared" si="37"/>
        <v>28.862542474848489</v>
      </c>
      <c r="O220" s="19">
        <f t="shared" si="34"/>
        <v>0.48104237458080812</v>
      </c>
      <c r="P220" s="20">
        <f t="shared" si="35"/>
        <v>141.17547949654153</v>
      </c>
    </row>
  </sheetData>
  <mergeCells count="3">
    <mergeCell ref="A102:C102"/>
    <mergeCell ref="A105:C105"/>
    <mergeCell ref="A114:C114"/>
  </mergeCells>
  <conditionalFormatting sqref="B8">
    <cfRule type="cellIs" dxfId="7" priority="4" operator="lessThan">
      <formula>1</formula>
    </cfRule>
    <cfRule type="cellIs" dxfId="6" priority="5" operator="greaterThan">
      <formula>1</formula>
    </cfRule>
  </conditionalFormatting>
  <conditionalFormatting sqref="B35">
    <cfRule type="cellIs" dxfId="5" priority="8" operator="lessThan">
      <formula>-0.05</formula>
    </cfRule>
    <cfRule type="cellIs" dxfId="4" priority="9" operator="greaterThan">
      <formula>0.05</formula>
    </cfRule>
  </conditionalFormatting>
  <conditionalFormatting sqref="F127:F220">
    <cfRule type="colorScale" priority="2">
      <colorScale>
        <cfvo type="min"/>
        <cfvo type="percentile" val="50"/>
        <cfvo type="max"/>
        <color rgb="FFF8696B"/>
        <color rgb="FFFCFCFF"/>
        <color rgb="FF63BE7B"/>
      </colorScale>
    </cfRule>
  </conditionalFormatting>
  <conditionalFormatting sqref="G127:G220">
    <cfRule type="colorScale" priority="3">
      <colorScale>
        <cfvo type="min"/>
        <cfvo type="percentile" val="50"/>
        <cfvo type="max"/>
        <color rgb="FFF8696B"/>
        <color rgb="FFFCFCFF"/>
        <color rgb="FF63BE7B"/>
      </colorScale>
    </cfRule>
  </conditionalFormatting>
  <conditionalFormatting sqref="K127:N127 K128:M220">
    <cfRule type="colorScale" priority="1">
      <colorScale>
        <cfvo type="min"/>
        <cfvo type="percentile" val="50"/>
        <cfvo type="max"/>
        <color rgb="FFF8696B"/>
        <color rgb="FFFCFCFF"/>
        <color rgb="FF63BE7B"/>
      </colorScale>
    </cfRule>
  </conditionalFormatting>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55FA9E-796B-4942-9247-834A1D8D8535}">
  <dimension ref="A1:I23"/>
  <sheetViews>
    <sheetView workbookViewId="0">
      <selection activeCell="D23" sqref="D23"/>
    </sheetView>
  </sheetViews>
  <sheetFormatPr defaultRowHeight="15" x14ac:dyDescent="0.25"/>
  <cols>
    <col min="1" max="1" width="20.7109375" customWidth="1"/>
    <col min="2" max="2" width="13.7109375" bestFit="1" customWidth="1"/>
    <col min="3" max="3" width="28.28515625" bestFit="1" customWidth="1"/>
    <col min="4" max="4" width="11.85546875" bestFit="1" customWidth="1"/>
    <col min="5" max="5" width="25.140625" bestFit="1" customWidth="1"/>
    <col min="6" max="7" width="11.85546875" customWidth="1"/>
    <col min="8" max="8" width="14.28515625" bestFit="1" customWidth="1"/>
    <col min="9" max="9" width="33.5703125" customWidth="1"/>
  </cols>
  <sheetData>
    <row r="1" spans="1:9" x14ac:dyDescent="0.25">
      <c r="A1" s="11" t="s">
        <v>192</v>
      </c>
      <c r="B1" s="11" t="s">
        <v>193</v>
      </c>
      <c r="C1" s="11" t="s">
        <v>202</v>
      </c>
      <c r="D1" s="11" t="s">
        <v>199</v>
      </c>
      <c r="E1" s="11" t="s">
        <v>205</v>
      </c>
      <c r="F1" s="11" t="s">
        <v>204</v>
      </c>
      <c r="G1" s="11" t="s">
        <v>206</v>
      </c>
      <c r="H1" s="11" t="s">
        <v>226</v>
      </c>
      <c r="I1" s="11" t="s">
        <v>200</v>
      </c>
    </row>
    <row r="2" spans="1:9" x14ac:dyDescent="0.25">
      <c r="A2" t="s">
        <v>194</v>
      </c>
      <c r="B2" s="15">
        <v>6.2</v>
      </c>
      <c r="C2" s="8">
        <v>38.799999999999997</v>
      </c>
      <c r="D2" s="13">
        <f>B2/C2</f>
        <v>0.15979381443298971</v>
      </c>
      <c r="E2" s="36">
        <v>6.8</v>
      </c>
      <c r="F2" s="6">
        <f>E2/C2</f>
        <v>0.1752577319587629</v>
      </c>
      <c r="G2" s="6"/>
      <c r="H2" s="6" t="e">
        <f t="shared" ref="H2:H7" si="0">D2/G2</f>
        <v>#DIV/0!</v>
      </c>
      <c r="I2" t="s">
        <v>203</v>
      </c>
    </row>
    <row r="3" spans="1:9" x14ac:dyDescent="0.25">
      <c r="A3" t="s">
        <v>195</v>
      </c>
      <c r="B3" s="15">
        <v>6.5</v>
      </c>
      <c r="C3" s="8">
        <v>33.700000000000003</v>
      </c>
      <c r="D3" s="13">
        <f>B3/C3</f>
        <v>0.19287833827893172</v>
      </c>
      <c r="E3" s="36">
        <v>6</v>
      </c>
      <c r="F3" s="6">
        <f>E3/C3</f>
        <v>0.17804154302670622</v>
      </c>
      <c r="G3" s="6">
        <v>0.35</v>
      </c>
      <c r="H3" s="6">
        <f>D3/G3</f>
        <v>0.55108096651123351</v>
      </c>
    </row>
    <row r="4" spans="1:9" x14ac:dyDescent="0.25">
      <c r="A4" t="s">
        <v>197</v>
      </c>
      <c r="B4" s="15">
        <v>3.5</v>
      </c>
      <c r="C4" s="8">
        <v>37.950000000000003</v>
      </c>
      <c r="D4" s="13">
        <f>B4/C4</f>
        <v>9.22266139657444E-2</v>
      </c>
      <c r="E4" s="15">
        <v>7.1</v>
      </c>
      <c r="F4" s="6">
        <f>E4/C4</f>
        <v>0.18708827404479575</v>
      </c>
      <c r="G4" s="6">
        <v>0.37</v>
      </c>
      <c r="H4" s="6">
        <f t="shared" si="0"/>
        <v>0.24926111882633623</v>
      </c>
    </row>
    <row r="5" spans="1:9" x14ac:dyDescent="0.25">
      <c r="A5" t="s">
        <v>196</v>
      </c>
      <c r="B5" s="15">
        <v>3.87</v>
      </c>
      <c r="C5" s="8">
        <v>33.700000000000003</v>
      </c>
      <c r="D5" s="13">
        <f>B5/C5</f>
        <v>0.11483679525222551</v>
      </c>
      <c r="E5" s="15">
        <v>6</v>
      </c>
      <c r="F5" s="6">
        <f>E5/C5</f>
        <v>0.17804154302670622</v>
      </c>
      <c r="G5" s="6">
        <v>0.35</v>
      </c>
      <c r="H5" s="6">
        <f t="shared" si="0"/>
        <v>0.32810512929207292</v>
      </c>
    </row>
    <row r="6" spans="1:9" x14ac:dyDescent="0.25">
      <c r="A6" t="s">
        <v>198</v>
      </c>
      <c r="B6" s="15">
        <v>4.68</v>
      </c>
      <c r="C6" s="8">
        <v>22.98</v>
      </c>
      <c r="D6" s="47">
        <v>0.13500000000000001</v>
      </c>
      <c r="E6" s="47">
        <v>3.5</v>
      </c>
      <c r="F6" s="6">
        <f>E6/C6</f>
        <v>0.15230635335073978</v>
      </c>
      <c r="G6" s="6"/>
      <c r="H6" s="6" t="e">
        <f t="shared" si="0"/>
        <v>#DIV/0!</v>
      </c>
      <c r="I6" t="s">
        <v>201</v>
      </c>
    </row>
    <row r="7" spans="1:9" x14ac:dyDescent="0.25">
      <c r="A7" t="s">
        <v>224</v>
      </c>
      <c r="D7" s="49">
        <v>0.23</v>
      </c>
      <c r="F7" s="6">
        <f>(2.2046/'GA Aircraft Estimation'!B9*1000)</f>
        <v>8.8184000000000005</v>
      </c>
      <c r="G7" s="6">
        <v>0.9</v>
      </c>
      <c r="H7" s="6">
        <f t="shared" si="0"/>
        <v>0.25555555555555554</v>
      </c>
    </row>
    <row r="8" spans="1:9" x14ac:dyDescent="0.25">
      <c r="B8" s="3"/>
    </row>
    <row r="9" spans="1:9" x14ac:dyDescent="0.25">
      <c r="B9" s="3"/>
      <c r="F9" t="s">
        <v>227</v>
      </c>
    </row>
    <row r="10" spans="1:9" x14ac:dyDescent="0.25">
      <c r="A10" s="11" t="s">
        <v>207</v>
      </c>
      <c r="B10" s="43" t="s">
        <v>211</v>
      </c>
      <c r="C10" s="11" t="s">
        <v>200</v>
      </c>
    </row>
    <row r="11" spans="1:9" x14ac:dyDescent="0.25">
      <c r="A11" t="s">
        <v>209</v>
      </c>
      <c r="B11" s="46">
        <v>0.35</v>
      </c>
      <c r="C11" t="s">
        <v>212</v>
      </c>
    </row>
    <row r="12" spans="1:9" x14ac:dyDescent="0.25">
      <c r="A12" t="s">
        <v>208</v>
      </c>
      <c r="B12" s="46">
        <v>0.42</v>
      </c>
    </row>
    <row r="13" spans="1:9" x14ac:dyDescent="0.25">
      <c r="A13" t="s">
        <v>210</v>
      </c>
      <c r="B13" s="46">
        <v>0.35</v>
      </c>
    </row>
    <row r="14" spans="1:9" x14ac:dyDescent="0.25">
      <c r="A14" t="s">
        <v>213</v>
      </c>
      <c r="B14" s="46">
        <v>0.37</v>
      </c>
      <c r="C14" t="s">
        <v>214</v>
      </c>
    </row>
    <row r="15" spans="1:9" x14ac:dyDescent="0.25">
      <c r="B15" s="42"/>
    </row>
    <row r="16" spans="1:9" x14ac:dyDescent="0.25">
      <c r="A16" s="11" t="s">
        <v>216</v>
      </c>
      <c r="B16" s="44" t="s">
        <v>219</v>
      </c>
      <c r="C16" s="11" t="s">
        <v>217</v>
      </c>
      <c r="D16" s="11" t="s">
        <v>225</v>
      </c>
      <c r="E16" s="11" t="s">
        <v>218</v>
      </c>
    </row>
    <row r="17" spans="1:5" x14ac:dyDescent="0.25">
      <c r="A17" t="s">
        <v>215</v>
      </c>
      <c r="B17" s="36">
        <v>6</v>
      </c>
      <c r="C17" s="8">
        <v>100</v>
      </c>
      <c r="D17" s="6">
        <f>(0.745*C17)/(B17*C5)</f>
        <v>0.36844708209693372</v>
      </c>
      <c r="E17" s="6">
        <f>68*2.2046</f>
        <v>149.9128</v>
      </c>
    </row>
    <row r="18" spans="1:5" x14ac:dyDescent="0.25">
      <c r="B18" s="3"/>
    </row>
    <row r="22" spans="1:5" x14ac:dyDescent="0.25">
      <c r="E22" s="45"/>
    </row>
    <row r="23" spans="1:5" x14ac:dyDescent="0.25">
      <c r="D23" s="5"/>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41"/>
  <sheetViews>
    <sheetView workbookViewId="0">
      <selection activeCell="I34" sqref="I34"/>
    </sheetView>
  </sheetViews>
  <sheetFormatPr defaultRowHeight="15" x14ac:dyDescent="0.25"/>
  <cols>
    <col min="1" max="1" width="35.28515625" bestFit="1" customWidth="1"/>
    <col min="2" max="2" width="10.140625" bestFit="1" customWidth="1"/>
    <col min="9" max="9" width="27.7109375" customWidth="1"/>
  </cols>
  <sheetData>
    <row r="1" spans="1:14" x14ac:dyDescent="0.25">
      <c r="A1" t="s">
        <v>0</v>
      </c>
      <c r="B1">
        <v>30000</v>
      </c>
      <c r="C1" t="s">
        <v>1</v>
      </c>
      <c r="D1">
        <f>B1*2.2046</f>
        <v>66138</v>
      </c>
      <c r="E1" t="s">
        <v>9</v>
      </c>
    </row>
    <row r="2" spans="1:14" x14ac:dyDescent="0.25">
      <c r="A2" t="s">
        <v>2</v>
      </c>
      <c r="B2">
        <v>0.6</v>
      </c>
      <c r="C2" t="s">
        <v>3</v>
      </c>
    </row>
    <row r="3" spans="1:14" x14ac:dyDescent="0.25">
      <c r="A3" t="s">
        <v>4</v>
      </c>
      <c r="B3">
        <f>0.2</f>
        <v>0.2</v>
      </c>
      <c r="C3" t="s">
        <v>3</v>
      </c>
      <c r="I3" t="s">
        <v>36</v>
      </c>
      <c r="J3">
        <f>B3*B1</f>
        <v>6000</v>
      </c>
      <c r="K3" t="s">
        <v>1</v>
      </c>
    </row>
    <row r="4" spans="1:14" x14ac:dyDescent="0.25">
      <c r="A4" t="s">
        <v>5</v>
      </c>
      <c r="B4">
        <v>0.2</v>
      </c>
      <c r="I4" t="s">
        <v>37</v>
      </c>
      <c r="J4">
        <f>L4/2.2046</f>
        <v>140.61507756509116</v>
      </c>
      <c r="K4" t="s">
        <v>1</v>
      </c>
      <c r="L4">
        <v>310</v>
      </c>
      <c r="M4" t="s">
        <v>34</v>
      </c>
      <c r="N4" s="1" t="s">
        <v>38</v>
      </c>
    </row>
    <row r="5" spans="1:14" x14ac:dyDescent="0.25">
      <c r="I5" t="s">
        <v>39</v>
      </c>
      <c r="J5">
        <v>2</v>
      </c>
      <c r="K5" t="s">
        <v>3</v>
      </c>
    </row>
    <row r="6" spans="1:14" x14ac:dyDescent="0.25">
      <c r="A6" t="s">
        <v>6</v>
      </c>
      <c r="B6">
        <v>600</v>
      </c>
      <c r="C6" t="s">
        <v>7</v>
      </c>
      <c r="I6" t="s">
        <v>41</v>
      </c>
      <c r="J6">
        <f>J3/J4-J5</f>
        <v>40.669677419354841</v>
      </c>
      <c r="K6" t="s">
        <v>3</v>
      </c>
    </row>
    <row r="7" spans="1:14" x14ac:dyDescent="0.25">
      <c r="A7" t="s">
        <v>8</v>
      </c>
      <c r="B7">
        <f>B1*B2</f>
        <v>18000</v>
      </c>
      <c r="C7" t="s">
        <v>1</v>
      </c>
      <c r="I7" t="s">
        <v>40</v>
      </c>
      <c r="J7">
        <f>TRUNC(J6)</f>
        <v>40</v>
      </c>
      <c r="K7" t="s">
        <v>3</v>
      </c>
    </row>
    <row r="8" spans="1:14" x14ac:dyDescent="0.25">
      <c r="A8" t="s">
        <v>45</v>
      </c>
      <c r="B8">
        <f>B6*B7</f>
        <v>10800000</v>
      </c>
      <c r="C8" t="s">
        <v>49</v>
      </c>
    </row>
    <row r="9" spans="1:14" x14ac:dyDescent="0.25">
      <c r="A9" t="s">
        <v>58</v>
      </c>
      <c r="B9" s="2">
        <v>1</v>
      </c>
      <c r="C9" t="s">
        <v>3</v>
      </c>
    </row>
    <row r="10" spans="1:14" x14ac:dyDescent="0.25">
      <c r="A10" t="s">
        <v>59</v>
      </c>
      <c r="B10">
        <f>B8*B9</f>
        <v>10800000</v>
      </c>
      <c r="C10" t="s">
        <v>49</v>
      </c>
      <c r="D10">
        <f>B10/1000</f>
        <v>10800</v>
      </c>
      <c r="E10" t="s">
        <v>47</v>
      </c>
    </row>
    <row r="12" spans="1:14" x14ac:dyDescent="0.25">
      <c r="A12" t="s">
        <v>10</v>
      </c>
      <c r="B12">
        <v>50</v>
      </c>
      <c r="C12" t="s">
        <v>3</v>
      </c>
    </row>
    <row r="13" spans="1:14" x14ac:dyDescent="0.25">
      <c r="A13" t="s">
        <v>11</v>
      </c>
      <c r="B13">
        <f>B1*9.81</f>
        <v>294300</v>
      </c>
      <c r="C13" t="s">
        <v>12</v>
      </c>
    </row>
    <row r="14" spans="1:14" x14ac:dyDescent="0.25">
      <c r="A14" t="s">
        <v>13</v>
      </c>
      <c r="B14">
        <f>B13/B12</f>
        <v>5886</v>
      </c>
      <c r="C14" t="s">
        <v>12</v>
      </c>
      <c r="D14">
        <f>B14/9.81</f>
        <v>600</v>
      </c>
      <c r="E14" t="s">
        <v>1</v>
      </c>
      <c r="F14">
        <f>D14*2.2046</f>
        <v>1322.76</v>
      </c>
      <c r="G14" t="s">
        <v>34</v>
      </c>
    </row>
    <row r="15" spans="1:14" x14ac:dyDescent="0.25">
      <c r="A15" t="s">
        <v>25</v>
      </c>
      <c r="B15">
        <v>200</v>
      </c>
      <c r="C15" t="s">
        <v>14</v>
      </c>
      <c r="D15">
        <f>B15*2.23694</f>
        <v>447.38800000000003</v>
      </c>
      <c r="E15" t="s">
        <v>15</v>
      </c>
      <c r="F15">
        <f>B15/343</f>
        <v>0.58309037900874638</v>
      </c>
      <c r="G15" t="s">
        <v>65</v>
      </c>
    </row>
    <row r="16" spans="1:14" x14ac:dyDescent="0.25">
      <c r="A16" t="s">
        <v>18</v>
      </c>
      <c r="B16">
        <f>B15*B14</f>
        <v>1177200</v>
      </c>
      <c r="C16" t="s">
        <v>16</v>
      </c>
      <c r="D16">
        <f>B16/1000</f>
        <v>1177.2</v>
      </c>
      <c r="E16" t="s">
        <v>17</v>
      </c>
    </row>
    <row r="17" spans="1:8" x14ac:dyDescent="0.25">
      <c r="A17" t="s">
        <v>19</v>
      </c>
      <c r="B17">
        <v>220</v>
      </c>
      <c r="C17" t="s">
        <v>14</v>
      </c>
      <c r="H17" t="s">
        <v>20</v>
      </c>
    </row>
    <row r="18" spans="1:8" x14ac:dyDescent="0.25">
      <c r="A18" t="s">
        <v>24</v>
      </c>
      <c r="B18">
        <f>B17-B15</f>
        <v>20</v>
      </c>
      <c r="C18" t="s">
        <v>14</v>
      </c>
    </row>
    <row r="19" spans="1:8" x14ac:dyDescent="0.25">
      <c r="A19" t="s">
        <v>21</v>
      </c>
      <c r="B19">
        <v>0.9093</v>
      </c>
      <c r="C19" t="s">
        <v>31</v>
      </c>
    </row>
    <row r="20" spans="1:8" x14ac:dyDescent="0.25">
      <c r="A20" t="s">
        <v>26</v>
      </c>
      <c r="B20">
        <v>1.37</v>
      </c>
      <c r="C20" t="s">
        <v>22</v>
      </c>
    </row>
    <row r="21" spans="1:8" x14ac:dyDescent="0.25">
      <c r="A21" t="s">
        <v>53</v>
      </c>
      <c r="B21">
        <v>1</v>
      </c>
      <c r="C21" t="s">
        <v>3</v>
      </c>
    </row>
    <row r="22" spans="1:8" x14ac:dyDescent="0.25">
      <c r="A22" t="s">
        <v>27</v>
      </c>
      <c r="B22">
        <f>B21*PI()*(B20/2)^2</f>
        <v>1.4741138128806708</v>
      </c>
      <c r="C22" t="s">
        <v>28</v>
      </c>
    </row>
    <row r="23" spans="1:8" x14ac:dyDescent="0.25">
      <c r="A23" t="s">
        <v>23</v>
      </c>
      <c r="B23">
        <f>B22*B17</f>
        <v>324.30503883374757</v>
      </c>
      <c r="C23" t="s">
        <v>29</v>
      </c>
    </row>
    <row r="24" spans="1:8" x14ac:dyDescent="0.25">
      <c r="A24" t="s">
        <v>30</v>
      </c>
      <c r="B24">
        <f>B23*B19</f>
        <v>294.89057181152668</v>
      </c>
      <c r="C24" t="s">
        <v>32</v>
      </c>
    </row>
    <row r="25" spans="1:8" x14ac:dyDescent="0.25">
      <c r="A25" t="s">
        <v>33</v>
      </c>
      <c r="B25">
        <f>B24*B18</f>
        <v>5897.8114362305332</v>
      </c>
      <c r="C25" t="s">
        <v>12</v>
      </c>
      <c r="D25">
        <f>B25/9.81</f>
        <v>601.20402000311242</v>
      </c>
      <c r="E25" t="s">
        <v>1</v>
      </c>
      <c r="F25">
        <f>D25*2.2046</f>
        <v>1325.4143824988616</v>
      </c>
      <c r="G25" t="s">
        <v>34</v>
      </c>
    </row>
    <row r="26" spans="1:8" x14ac:dyDescent="0.25">
      <c r="A26" t="s">
        <v>52</v>
      </c>
      <c r="B26" s="2">
        <v>1</v>
      </c>
      <c r="C26" t="s">
        <v>3</v>
      </c>
      <c r="E26" t="s">
        <v>35</v>
      </c>
    </row>
    <row r="27" spans="1:8" x14ac:dyDescent="0.25">
      <c r="A27" t="s">
        <v>42</v>
      </c>
      <c r="B27">
        <f>B16/B26</f>
        <v>1177200</v>
      </c>
      <c r="C27" t="s">
        <v>16</v>
      </c>
      <c r="D27">
        <f>B27/1000</f>
        <v>1177.2</v>
      </c>
      <c r="E27" t="s">
        <v>17</v>
      </c>
    </row>
    <row r="28" spans="1:8" x14ac:dyDescent="0.25">
      <c r="A28" t="s">
        <v>43</v>
      </c>
      <c r="B28">
        <f>0.8</f>
        <v>0.8</v>
      </c>
      <c r="C28" t="s">
        <v>3</v>
      </c>
    </row>
    <row r="29" spans="1:8" x14ac:dyDescent="0.25">
      <c r="A29" t="s">
        <v>44</v>
      </c>
      <c r="B29">
        <f>B27/B28</f>
        <v>1471500</v>
      </c>
      <c r="C29" t="s">
        <v>16</v>
      </c>
      <c r="D29">
        <f>B29/1000</f>
        <v>1471.5</v>
      </c>
      <c r="E29" t="s">
        <v>17</v>
      </c>
    </row>
    <row r="30" spans="1:8" x14ac:dyDescent="0.25">
      <c r="A30" t="s">
        <v>54</v>
      </c>
      <c r="B30">
        <f>(F25/F14)-1</f>
        <v>2.0067000051873229E-3</v>
      </c>
      <c r="C30" t="s">
        <v>3</v>
      </c>
    </row>
    <row r="31" spans="1:8" x14ac:dyDescent="0.25">
      <c r="A31" t="s">
        <v>46</v>
      </c>
      <c r="B31">
        <f>B10/B29</f>
        <v>7.3394495412844041</v>
      </c>
      <c r="C31" t="s">
        <v>48</v>
      </c>
    </row>
    <row r="32" spans="1:8" x14ac:dyDescent="0.25">
      <c r="A32" t="s">
        <v>50</v>
      </c>
      <c r="B32">
        <f>D15*B31</f>
        <v>3283.5816513761474</v>
      </c>
      <c r="C32" t="s">
        <v>51</v>
      </c>
      <c r="D32">
        <f>B32*1.60934</f>
        <v>5284.3992948256891</v>
      </c>
      <c r="E32" t="s">
        <v>66</v>
      </c>
    </row>
    <row r="34" spans="1:3" x14ac:dyDescent="0.25">
      <c r="A34" t="s">
        <v>55</v>
      </c>
      <c r="B34" s="3">
        <v>0.23</v>
      </c>
      <c r="C34" t="s">
        <v>56</v>
      </c>
    </row>
    <row r="35" spans="1:3" x14ac:dyDescent="0.25">
      <c r="A35" t="s">
        <v>57</v>
      </c>
      <c r="B35" s="3">
        <f>D10*B34</f>
        <v>2484</v>
      </c>
      <c r="C35" t="s">
        <v>60</v>
      </c>
    </row>
    <row r="36" spans="1:3" x14ac:dyDescent="0.25">
      <c r="A36" t="s">
        <v>69</v>
      </c>
      <c r="B36" s="3">
        <f>B35/J7</f>
        <v>62.1</v>
      </c>
    </row>
    <row r="37" spans="1:3" x14ac:dyDescent="0.25">
      <c r="A37" t="s">
        <v>61</v>
      </c>
      <c r="B37" s="3">
        <f>B35/B32</f>
        <v>0.75649101004050157</v>
      </c>
      <c r="C37" t="s">
        <v>62</v>
      </c>
    </row>
    <row r="38" spans="1:3" x14ac:dyDescent="0.25">
      <c r="A38" t="s">
        <v>64</v>
      </c>
      <c r="B38" s="4">
        <f>1/B37</f>
        <v>1.3218927743060176</v>
      </c>
      <c r="C38" t="s">
        <v>63</v>
      </c>
    </row>
    <row r="40" spans="1:3" x14ac:dyDescent="0.25">
      <c r="A40" t="s">
        <v>67</v>
      </c>
      <c r="B40" s="3">
        <f>B37/J7</f>
        <v>1.891227525101254E-2</v>
      </c>
    </row>
    <row r="41" spans="1:3" x14ac:dyDescent="0.25">
      <c r="A41" t="s">
        <v>68</v>
      </c>
      <c r="B41" s="3">
        <f>1/B40</f>
        <v>52.875710972240704</v>
      </c>
    </row>
  </sheetData>
  <conditionalFormatting sqref="B30">
    <cfRule type="cellIs" dxfId="3" priority="1" operator="between">
      <formula>-0.02</formula>
      <formula>0.02</formula>
    </cfRule>
    <cfRule type="cellIs" dxfId="2" priority="2" operator="between">
      <formula>-0.05</formula>
      <formula>0.05</formula>
    </cfRule>
    <cfRule type="cellIs" dxfId="1" priority="3" operator="lessThan">
      <formula>-0.05</formula>
    </cfRule>
    <cfRule type="cellIs" dxfId="0" priority="4" operator="greaterThan">
      <formula>0.05</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High Alt Commercial</vt:lpstr>
      <vt:lpstr>Low Alt HighSp Commercial</vt:lpstr>
      <vt:lpstr>Low Alt LowSp Commercial</vt:lpstr>
      <vt:lpstr>GA Aircraft Estimation</vt:lpstr>
      <vt:lpstr>Energy Cost in US</vt:lpstr>
      <vt:lpstr>Checking Chris' Estimation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Gunderman</dc:creator>
  <cp:lastModifiedBy>Michael Gunderman</cp:lastModifiedBy>
  <dcterms:created xsi:type="dcterms:W3CDTF">2020-11-11T02:36:01Z</dcterms:created>
  <dcterms:modified xsi:type="dcterms:W3CDTF">2025-02-23T15:50:35Z</dcterms:modified>
</cp:coreProperties>
</file>